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I:\Budgets\FY 24-25\"/>
    </mc:Choice>
  </mc:AlternateContent>
  <xr:revisionPtr revIDLastSave="0" documentId="13_ncr:1_{B41F0087-A75D-4550-AC40-E5F4E18DCCB4}" xr6:coauthVersionLast="47" xr6:coauthVersionMax="47" xr10:uidLastSave="{00000000-0000-0000-0000-000000000000}"/>
  <bookViews>
    <workbookView xWindow="24850" yWindow="-110" windowWidth="19420" windowHeight="10420" tabRatio="950" xr2:uid="{00000000-000D-0000-FFFF-FFFF00000000}"/>
  </bookViews>
  <sheets>
    <sheet name="Benefit Calculations" sheetId="15" r:id="rId1"/>
    <sheet name="Account Codes" sheetId="9" r:id="rId2"/>
    <sheet name="Instructional-NonInstructional" sheetId="16" r:id="rId3"/>
  </sheets>
  <definedNames>
    <definedName name="_xlnm._FilterDatabase" localSheetId="2" hidden="1">'Instructional-NonInstructional'!$A$4:$E$29</definedName>
    <definedName name="_pg1">#REF!</definedName>
    <definedName name="_pg2">#REF!</definedName>
    <definedName name="EmployeeType">'Benefit Calculations'!$A$15:$A$30</definedName>
    <definedName name="jrg">#REF!</definedName>
    <definedName name="print">#REF!</definedName>
    <definedName name="_xlnm.Print_Area" localSheetId="1">'Account Codes'!$A$1:$P$50</definedName>
    <definedName name="_xlnm.Print_Area" localSheetId="0">'Benefit Calculations'!$A$1:$K$51</definedName>
    <definedName name="_xlnm.Print_Area" localSheetId="2">'Instructional-NonInstructional'!$A$4:$E$34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9" l="1"/>
  <c r="B49" i="9"/>
  <c r="B43" i="9"/>
  <c r="B48" i="9"/>
  <c r="B47" i="9"/>
  <c r="B46" i="9"/>
  <c r="B45" i="9"/>
  <c r="B44" i="9"/>
  <c r="B42" i="9"/>
  <c r="B41" i="9"/>
  <c r="B40" i="9"/>
  <c r="B39" i="9"/>
  <c r="D9" i="9" l="1"/>
  <c r="F28" i="15"/>
  <c r="F17" i="15"/>
  <c r="F16" i="15"/>
  <c r="F15" i="15"/>
  <c r="O27" i="9" l="1"/>
  <c r="O26" i="9"/>
  <c r="L9" i="9" l="1"/>
  <c r="P9" i="9"/>
  <c r="N9" i="9"/>
  <c r="M9" i="9"/>
  <c r="A3" i="9"/>
  <c r="A2" i="9"/>
  <c r="J38" i="15"/>
  <c r="M36" i="15" l="1"/>
  <c r="L36" i="15" s="1"/>
  <c r="F38" i="15" s="1"/>
  <c r="J37" i="15" l="1"/>
  <c r="F36" i="15"/>
  <c r="F37" i="15"/>
  <c r="J36" i="15"/>
  <c r="K9" i="9"/>
  <c r="J9" i="9"/>
  <c r="I9" i="9"/>
  <c r="H9" i="9"/>
  <c r="G9" i="9"/>
  <c r="F9" i="9"/>
  <c r="E9" i="9"/>
  <c r="E14" i="15"/>
  <c r="C14" i="15"/>
  <c r="C7" i="15"/>
  <c r="D14" i="15"/>
  <c r="D7" i="15"/>
  <c r="E7" i="15"/>
  <c r="F7" i="15"/>
  <c r="F14" i="15"/>
  <c r="G14" i="15"/>
  <c r="G7" i="15"/>
  <c r="I7" i="15"/>
  <c r="I14" i="15"/>
  <c r="J14" i="15"/>
  <c r="J7" i="15"/>
  <c r="H14" i="15"/>
  <c r="H7" i="15"/>
  <c r="I25" i="15" l="1"/>
  <c r="I20" i="15"/>
  <c r="I17" i="15"/>
  <c r="I16" i="15"/>
  <c r="F20" i="15"/>
  <c r="F19" i="15"/>
  <c r="A35" i="15"/>
  <c r="D20" i="15"/>
  <c r="D29" i="15"/>
  <c r="G27" i="15"/>
  <c r="G30" i="15"/>
  <c r="E30" i="15"/>
  <c r="H29" i="15"/>
  <c r="G29" i="15"/>
  <c r="D27" i="15"/>
  <c r="H27" i="15"/>
  <c r="D30" i="15"/>
  <c r="E28" i="15"/>
  <c r="H30" i="15"/>
  <c r="D28" i="15"/>
  <c r="E29" i="15"/>
  <c r="H28" i="15"/>
  <c r="E27" i="15"/>
  <c r="G28" i="15"/>
  <c r="D25" i="15"/>
  <c r="D23" i="15"/>
  <c r="G15" i="15"/>
  <c r="D24" i="15"/>
  <c r="D21" i="15"/>
  <c r="C24" i="15"/>
  <c r="C22" i="15"/>
  <c r="D22" i="15"/>
  <c r="E21" i="15"/>
  <c r="E23" i="15"/>
  <c r="E26" i="15"/>
  <c r="K26" i="15" s="1"/>
  <c r="G21" i="15"/>
  <c r="G23" i="15"/>
  <c r="J20" i="15"/>
  <c r="E24" i="15"/>
  <c r="G24" i="15"/>
  <c r="C21" i="15"/>
  <c r="C23" i="15"/>
  <c r="E20" i="15"/>
  <c r="E22" i="15"/>
  <c r="E25" i="15"/>
  <c r="G20" i="15"/>
  <c r="G22" i="15"/>
  <c r="G25" i="15"/>
  <c r="J25" i="15"/>
  <c r="G16" i="15"/>
  <c r="G17" i="15"/>
  <c r="D17" i="15"/>
  <c r="J17" i="15"/>
  <c r="H15" i="15"/>
  <c r="D18" i="15"/>
  <c r="E18" i="15"/>
  <c r="D15" i="15"/>
  <c r="D19" i="15"/>
  <c r="C18" i="15"/>
  <c r="G19" i="15"/>
  <c r="D16" i="15"/>
  <c r="G18" i="15"/>
  <c r="E16" i="15"/>
  <c r="J16" i="15"/>
  <c r="E15" i="15"/>
  <c r="E19" i="15"/>
  <c r="E17" i="15"/>
  <c r="C19" i="15"/>
  <c r="K30" i="15" l="1"/>
  <c r="K29" i="15"/>
  <c r="K27" i="15"/>
  <c r="K28" i="15"/>
  <c r="K21" i="15"/>
  <c r="K25" i="15"/>
  <c r="K19" i="15"/>
  <c r="K18" i="15"/>
  <c r="K24" i="15"/>
  <c r="K23" i="15"/>
  <c r="K20" i="15"/>
  <c r="K22" i="15"/>
  <c r="K15" i="15"/>
  <c r="K16" i="15"/>
  <c r="K17" i="15"/>
  <c r="A8" i="15" l="1"/>
  <c r="L15" i="15"/>
  <c r="L20" i="15"/>
  <c r="L16" i="15"/>
  <c r="L17" i="15"/>
  <c r="L28" i="15"/>
  <c r="A9" i="15" l="1"/>
  <c r="A12" i="15" s="1"/>
  <c r="A13" i="15" l="1"/>
</calcChain>
</file>

<file path=xl/sharedStrings.xml><?xml version="1.0" encoding="utf-8"?>
<sst xmlns="http://schemas.openxmlformats.org/spreadsheetml/2006/main" count="366" uniqueCount="189">
  <si>
    <t>DEF BEN</t>
  </si>
  <si>
    <t>MEDICARE</t>
  </si>
  <si>
    <t>WKRS COMP</t>
  </si>
  <si>
    <t>LTD</t>
  </si>
  <si>
    <t>UNEMP</t>
  </si>
  <si>
    <t>STRS</t>
  </si>
  <si>
    <t>OASDI</t>
  </si>
  <si>
    <t>PERS</t>
  </si>
  <si>
    <t xml:space="preserve"> </t>
  </si>
  <si>
    <t>Fixed</t>
  </si>
  <si>
    <t>Pro-rated by</t>
  </si>
  <si>
    <t>No. of Mos.</t>
  </si>
  <si>
    <t>Fixed Benefits Total</t>
  </si>
  <si>
    <t>Mthly Rate</t>
  </si>
  <si>
    <t>PTRBDCA CODE</t>
  </si>
  <si>
    <t>Flexible</t>
  </si>
  <si>
    <t>Benefits</t>
  </si>
  <si>
    <t>Flexible Benefit Matrix</t>
  </si>
  <si>
    <t>Column K</t>
  </si>
  <si>
    <t>Employee Classifications</t>
  </si>
  <si>
    <t>Dental</t>
  </si>
  <si>
    <t>** Flexible Benefits **</t>
  </si>
  <si>
    <t>BDCA Code</t>
  </si>
  <si>
    <t>Employee</t>
  </si>
  <si>
    <t>W/C</t>
  </si>
  <si>
    <t>Health</t>
  </si>
  <si>
    <t>Life</t>
  </si>
  <si>
    <t>Classifications</t>
  </si>
  <si>
    <t>Instructional Stipends</t>
  </si>
  <si>
    <t>Vision</t>
  </si>
  <si>
    <t>Classified Overtime (Instructional)</t>
  </si>
  <si>
    <t>Basic Life (491/591)</t>
  </si>
  <si>
    <t>Dental (494/594,493/593,495/595)</t>
  </si>
  <si>
    <t>Vision (490/590)</t>
  </si>
  <si>
    <t>Salary</t>
  </si>
  <si>
    <t>Account</t>
  </si>
  <si>
    <t>Code</t>
  </si>
  <si>
    <t>1310/1320</t>
  </si>
  <si>
    <t xml:space="preserve">Other Academic Non-Instructional </t>
  </si>
  <si>
    <t>2411/2492</t>
  </si>
  <si>
    <t>2311/2394</t>
  </si>
  <si>
    <t>2419/2499</t>
  </si>
  <si>
    <t>2412/2495</t>
  </si>
  <si>
    <t>AI</t>
  </si>
  <si>
    <t>AN</t>
  </si>
  <si>
    <t>OI</t>
  </si>
  <si>
    <t>ON</t>
  </si>
  <si>
    <t>Totals</t>
  </si>
  <si>
    <t>Total Benefits</t>
  </si>
  <si>
    <t>Total</t>
  </si>
  <si>
    <t>Educational Administrator</t>
  </si>
  <si>
    <t>Non Educational Administrator</t>
  </si>
  <si>
    <t>Professional Expert</t>
  </si>
  <si>
    <t>Student Worker</t>
  </si>
  <si>
    <t>Confidential</t>
  </si>
  <si>
    <t>Board of Trustees</t>
  </si>
  <si>
    <t>Classified (20+ hours/week)</t>
  </si>
  <si>
    <t>Classified (19 hours/week or less)</t>
  </si>
  <si>
    <t>Classified (Flexible Limited Benefit)</t>
  </si>
  <si>
    <t>Classified Temporary / Hourly</t>
  </si>
  <si>
    <t>Contract Faculty</t>
  </si>
  <si>
    <t>Overload Faculty</t>
  </si>
  <si>
    <t>Employee Type:</t>
  </si>
  <si>
    <t>Benefit Calculation Template</t>
  </si>
  <si>
    <t>Flexible Benefits</t>
  </si>
  <si>
    <t>Total Salary + Benefits</t>
  </si>
  <si>
    <t>Fixed Benefits (if applicable)</t>
  </si>
  <si>
    <t>Confidential / Mgmt Hourly</t>
  </si>
  <si>
    <t>CA</t>
  </si>
  <si>
    <t>Class 20+ hours/week (NonInstruct)</t>
  </si>
  <si>
    <t>CZ</t>
  </si>
  <si>
    <t>Class 20+ hours/week (Instructional)</t>
  </si>
  <si>
    <t>CC</t>
  </si>
  <si>
    <t>CY</t>
  </si>
  <si>
    <t>CJ</t>
  </si>
  <si>
    <t>CX</t>
  </si>
  <si>
    <t>Class Less than 19 hours/week (NonInstruct)</t>
  </si>
  <si>
    <t>Class Flexible Limited Benefit (NonInstruct)</t>
  </si>
  <si>
    <t>I1/I2/ I3/N1/N2/ N3</t>
  </si>
  <si>
    <t>M1</t>
  </si>
  <si>
    <t>Overload Faculty (NonInstruct)</t>
  </si>
  <si>
    <t>Overload Faculty (Instructional)</t>
  </si>
  <si>
    <t>Class Less than 19 hours/week (Instructional)</t>
  </si>
  <si>
    <t>Class Flexible Limited Benefit (Instructional)</t>
  </si>
  <si>
    <t>M2</t>
  </si>
  <si>
    <t>M3</t>
  </si>
  <si>
    <t>M6</t>
  </si>
  <si>
    <t>S1</t>
  </si>
  <si>
    <t>S2</t>
  </si>
  <si>
    <t>CK</t>
  </si>
  <si>
    <t>PN</t>
  </si>
  <si>
    <t>CW</t>
  </si>
  <si>
    <t>PI</t>
  </si>
  <si>
    <t>Adjunct Faculty (Instructional)</t>
  </si>
  <si>
    <t>Adjunct Faculty (NonInstruct)</t>
  </si>
  <si>
    <t>Student (NonInstruct)</t>
  </si>
  <si>
    <t>Student (Instructional)</t>
  </si>
  <si>
    <t>Classified Overtime (NonInstruct)</t>
  </si>
  <si>
    <t>Classified Temporary / Hourly (Instructional)</t>
  </si>
  <si>
    <t>Classified Temporary / Hourly (NonInstruct)</t>
  </si>
  <si>
    <t>Professional Expert (NonInstruct)</t>
  </si>
  <si>
    <t>Professional Expert (Instructional)</t>
  </si>
  <si>
    <t>1100 &amp; 1101 &amp; 1110 &amp; 1231 &amp; 1241 &amp; 1251 &amp; 1252</t>
  </si>
  <si>
    <t>Benefit Account Code Template</t>
  </si>
  <si>
    <t>OPEB-ARC</t>
  </si>
  <si>
    <t>Calculates benefits by Employee Classification (Pro-rated fixed benefits by months of employment)</t>
  </si>
  <si>
    <t>Notes:</t>
  </si>
  <si>
    <t>3421RC</t>
  </si>
  <si>
    <t>3410RC</t>
  </si>
  <si>
    <t>3440RC</t>
  </si>
  <si>
    <t>3420RC</t>
  </si>
  <si>
    <t>3422RC</t>
  </si>
  <si>
    <r>
      <t xml:space="preserve">LTD </t>
    </r>
    <r>
      <rPr>
        <sz val="6"/>
        <rFont val="Arial"/>
        <family val="2"/>
      </rPr>
      <t>1</t>
    </r>
  </si>
  <si>
    <r>
      <t xml:space="preserve">Adjunct Faculty </t>
    </r>
    <r>
      <rPr>
        <sz val="6"/>
        <rFont val="Arial"/>
        <family val="2"/>
      </rPr>
      <t>3</t>
    </r>
  </si>
  <si>
    <r>
      <t xml:space="preserve">Stipends for Faculty </t>
    </r>
    <r>
      <rPr>
        <sz val="6"/>
        <rFont val="Arial"/>
        <family val="2"/>
      </rPr>
      <t>3</t>
    </r>
  </si>
  <si>
    <r>
      <t xml:space="preserve">------- Fixed Benefits Calculated and Pro-rated -------  </t>
    </r>
    <r>
      <rPr>
        <b/>
        <sz val="6"/>
        <rFont val="Arial"/>
        <family val="2"/>
      </rPr>
      <t>4</t>
    </r>
  </si>
  <si>
    <t>If employee works &lt; 19 hours/week, benefit will be Defined Benefit; if employee works &gt; 19 hours/week but &lt; 40 hours/week, benefit will be PERS, if &gt; 40 hours/week there will be no retirement benefit</t>
  </si>
  <si>
    <t>OPEB-ARC (485)</t>
  </si>
  <si>
    <r>
      <rPr>
        <sz val="9"/>
        <color rgb="FF00B0F0"/>
        <rFont val="Arial"/>
        <family val="2"/>
      </rPr>
      <t>CLASSIFIED/ MANAGEMENT</t>
    </r>
    <r>
      <rPr>
        <sz val="9"/>
        <rFont val="Arial"/>
        <family val="2"/>
      </rPr>
      <t xml:space="preserve"> - Blue Cross Health Ins (331)</t>
    </r>
  </si>
  <si>
    <r>
      <rPr>
        <sz val="9"/>
        <color rgb="FF00B0F0"/>
        <rFont val="Arial"/>
        <family val="2"/>
      </rPr>
      <t>FACULTY</t>
    </r>
    <r>
      <rPr>
        <sz val="9"/>
        <rFont val="Arial"/>
        <family val="2"/>
      </rPr>
      <t xml:space="preserve"> - Blue Cross Health Ins (331)</t>
    </r>
  </si>
  <si>
    <t>see below</t>
  </si>
  <si>
    <t>Benefit Codes</t>
  </si>
  <si>
    <t>A6: Position Title (if applicable)</t>
  </si>
  <si>
    <t>A7:  Enter Annual Salary only</t>
  </si>
  <si>
    <t>D8:  Select type of employee from Drop Down</t>
  </si>
  <si>
    <t>A36: Enter No. of Months</t>
  </si>
  <si>
    <t>A37: Enter Hrs/Week</t>
  </si>
  <si>
    <t xml:space="preserve">2 - In cases of Classified Overtime, retirement benefits will be PERS, Defined Benefit or neither. </t>
  </si>
  <si>
    <t>Faculty</t>
  </si>
  <si>
    <t>Classified / Management</t>
  </si>
  <si>
    <t>Health (from above)</t>
  </si>
  <si>
    <r>
      <t xml:space="preserve">Classified Overtime </t>
    </r>
    <r>
      <rPr>
        <sz val="6"/>
        <rFont val="Arial"/>
        <family val="2"/>
      </rPr>
      <t>2</t>
    </r>
  </si>
  <si>
    <t>1b -  Although Long Term Disability (LTD) benefit is effective 3 years from date of hire, KCCD budgets for all employee classes that are eligible.</t>
  </si>
  <si>
    <t>1a -  LTD maximimum is $653.40 - Budgeted at $653.40 for Contract Faculty, Educational Administrators, and Non-Educational Administrators - all else budgeted at percentage of salary</t>
  </si>
  <si>
    <t>3310T</t>
  </si>
  <si>
    <t>3341T</t>
  </si>
  <si>
    <t>3610T</t>
  </si>
  <si>
    <t>3641T</t>
  </si>
  <si>
    <t>3510T</t>
  </si>
  <si>
    <t>3541T</t>
  </si>
  <si>
    <t>3110T</t>
  </si>
  <si>
    <t>3131T</t>
  </si>
  <si>
    <t>3710T</t>
  </si>
  <si>
    <t>3741T</t>
  </si>
  <si>
    <t>3621T</t>
  </si>
  <si>
    <t>3321T</t>
  </si>
  <si>
    <t>3721T</t>
  </si>
  <si>
    <t>3521T</t>
  </si>
  <si>
    <t>3221T</t>
  </si>
  <si>
    <t>3210T</t>
  </si>
  <si>
    <t>3720T</t>
  </si>
  <si>
    <t>3322T</t>
  </si>
  <si>
    <t>3622T</t>
  </si>
  <si>
    <t>3522T</t>
  </si>
  <si>
    <r>
      <t xml:space="preserve">DEF BEN </t>
    </r>
    <r>
      <rPr>
        <sz val="6"/>
        <rFont val="Arial"/>
        <family val="2"/>
      </rPr>
      <t>5</t>
    </r>
  </si>
  <si>
    <t>4a -  Some Faculty positions have fixed benefits (Life, Health, Dental) deducted at a 10thly rate, which is the annual total divided by 10 months rather than 12 months.  In these cases, benefits are usually deducted August through May.</t>
  </si>
  <si>
    <t>6 - In cases where STRS and Def Ben are included, amounts are adjusted for general utilization.  Not all will pay into STRS or Def Ben.  It is an either/or situation.</t>
  </si>
  <si>
    <t xml:space="preserve"> 3 -  Adjunct Faculty and Stipends for Faculty may be Defined Benefit or STRS -- KCCD budgets for STRS since it is higher rate.</t>
  </si>
  <si>
    <r>
      <t xml:space="preserve">OASDI  </t>
    </r>
    <r>
      <rPr>
        <sz val="6"/>
        <rFont val="Arial"/>
        <family val="2"/>
      </rPr>
      <t>1</t>
    </r>
  </si>
  <si>
    <t>1419/1430</t>
  </si>
  <si>
    <t>Instructional / Non-Instructional</t>
  </si>
  <si>
    <t>E-Class</t>
  </si>
  <si>
    <t>Employee Classification Description</t>
  </si>
  <si>
    <t>Salary Account Code</t>
  </si>
  <si>
    <t>Salary Program Code</t>
  </si>
  <si>
    <t>Non-Instructional</t>
  </si>
  <si>
    <t>&gt; 600000</t>
  </si>
  <si>
    <t>Instructional</t>
  </si>
  <si>
    <t>I1 / I2 / I3</t>
  </si>
  <si>
    <t>Contract Faculty - Generally Instructional *</t>
  </si>
  <si>
    <t>1100 &amp; 1101 &amp; 1110</t>
  </si>
  <si>
    <t>N1 / N2 / N3</t>
  </si>
  <si>
    <t>Contract Faculty - Generally Non-Instructional (Counselors, Librarians, Etc.) **</t>
  </si>
  <si>
    <t>1231 &amp; 1241 &amp; 1251 &amp; 1252</t>
  </si>
  <si>
    <t>AI / OI</t>
  </si>
  <si>
    <t>AN / ON</t>
  </si>
  <si>
    <t>* - primary assignment is instructional, although there may be some non-instructional assignment as part of load (faculty chair, for example) that would have a non-instructional account and non-instructional program code</t>
  </si>
  <si>
    <t>** - primary assignment is non-instructional, although there may be some instructional assignment as part of load (teaching a single class, for example) that would have an instructional account and instructional program code.</t>
  </si>
  <si>
    <t>Appropriate Account Code / Program Code</t>
  </si>
  <si>
    <t>Instructional and Non-Instructional Assigments</t>
  </si>
  <si>
    <t>4b - Benefit rates for medical/dental/vision/life are specific to each employee group negotiated contract and are annualized due to possible rate changes in October of each year.</t>
  </si>
  <si>
    <t>5 - Defined Benefit rate is annualized - current anticipated rate is 3.8%</t>
  </si>
  <si>
    <t>1c - OASDI maximimum is $9,932.40 - Budgeted at percentage rate for all employee classes except Chancellor.</t>
  </si>
  <si>
    <t>TENTATIVE BUDGET</t>
  </si>
  <si>
    <t>FY 2025:  July 1, 2024 through June 30, 2025</t>
  </si>
  <si>
    <t>Faculty Medical:  $1,739.44 per month</t>
  </si>
  <si>
    <t>Classified Medical:  $1,746.28 per month</t>
  </si>
  <si>
    <t>Updated May 2024</t>
  </si>
  <si>
    <t>&lt; 599999, 6110xx, and 68xxxx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</si>
</sst>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"/>
    <numFmt numFmtId="166" formatCode="0.00000"/>
    <numFmt numFmtId="167" formatCode="0.000%"/>
    <numFmt numFmtId="168" formatCode="#,##0.00000"/>
    <numFmt numFmtId="169" formatCode="0.0000%"/>
    <numFmt numFmtId="170" formatCode="0.000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rgb="FFC00000"/>
      <name val="Arial"/>
      <family val="2"/>
    </font>
    <font>
      <sz val="8"/>
      <color rgb="FFC0000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8.5"/>
      <color rgb="FFC00000"/>
      <name val="Arial"/>
      <family val="2"/>
    </font>
    <font>
      <sz val="11"/>
      <color rgb="FF9C0006"/>
      <name val="Calibri"/>
      <family val="2"/>
      <scheme val="minor"/>
    </font>
    <font>
      <b/>
      <sz val="16"/>
      <name val="Calibri"/>
      <family val="2"/>
      <scheme val="minor"/>
    </font>
    <font>
      <b/>
      <sz val="6"/>
      <name val="Arial"/>
      <family val="2"/>
    </font>
    <font>
      <sz val="9"/>
      <color rgb="FF00B0F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Up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39997558519241921"/>
        <bgColor indexed="64"/>
      </patternFill>
    </fill>
  </fills>
  <borders count="7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8" fillId="10" borderId="0" applyNumberFormat="0" applyBorder="0" applyAlignment="0" applyProtection="0"/>
    <xf numFmtId="0" fontId="2" fillId="0" borderId="0"/>
  </cellStyleXfs>
  <cellXfs count="272">
    <xf numFmtId="0" fontId="0" fillId="0" borderId="0" xfId="0"/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" fontId="11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centerContinuous"/>
    </xf>
    <xf numFmtId="0" fontId="13" fillId="0" borderId="0" xfId="0" applyFont="1"/>
    <xf numFmtId="0" fontId="7" fillId="0" borderId="0" xfId="0" applyFont="1"/>
    <xf numFmtId="4" fontId="11" fillId="0" borderId="0" xfId="0" applyNumberFormat="1" applyFont="1"/>
    <xf numFmtId="0" fontId="12" fillId="0" borderId="0" xfId="0" applyFont="1"/>
    <xf numFmtId="4" fontId="6" fillId="2" borderId="0" xfId="0" applyNumberFormat="1" applyFont="1" applyFill="1" applyAlignment="1">
      <alignment horizontal="center"/>
    </xf>
    <xf numFmtId="4" fontId="7" fillId="0" borderId="0" xfId="0" applyNumberFormat="1" applyFont="1"/>
    <xf numFmtId="0" fontId="8" fillId="0" borderId="3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9" fillId="0" borderId="0" xfId="0" applyFont="1"/>
    <xf numFmtId="0" fontId="18" fillId="0" borderId="0" xfId="0" applyFont="1"/>
    <xf numFmtId="44" fontId="18" fillId="0" borderId="0" xfId="0" applyNumberFormat="1" applyFont="1"/>
    <xf numFmtId="0" fontId="18" fillId="0" borderId="0" xfId="0" applyFont="1" applyAlignment="1">
      <alignment horizontal="center"/>
    </xf>
    <xf numFmtId="0" fontId="0" fillId="0" borderId="10" xfId="0" applyBorder="1"/>
    <xf numFmtId="0" fontId="0" fillId="0" borderId="12" xfId="0" applyBorder="1"/>
    <xf numFmtId="0" fontId="11" fillId="0" borderId="10" xfId="0" applyFont="1" applyBorder="1"/>
    <xf numFmtId="0" fontId="7" fillId="0" borderId="10" xfId="0" applyFont="1" applyBorder="1" applyAlignment="1">
      <alignment horizontal="centerContinuous"/>
    </xf>
    <xf numFmtId="4" fontId="7" fillId="0" borderId="10" xfId="0" applyNumberFormat="1" applyFont="1" applyBorder="1"/>
    <xf numFmtId="0" fontId="5" fillId="0" borderId="4" xfId="0" applyFont="1" applyBorder="1"/>
    <xf numFmtId="10" fontId="11" fillId="0" borderId="14" xfId="0" applyNumberFormat="1" applyFont="1" applyBorder="1" applyAlignment="1">
      <alignment horizontal="center"/>
    </xf>
    <xf numFmtId="0" fontId="11" fillId="0" borderId="0" xfId="0" applyFont="1"/>
    <xf numFmtId="0" fontId="7" fillId="0" borderId="16" xfId="0" applyFont="1" applyBorder="1" applyAlignment="1">
      <alignment horizontal="center"/>
    </xf>
    <xf numFmtId="4" fontId="11" fillId="0" borderId="14" xfId="0" applyNumberFormat="1" applyFont="1" applyBorder="1"/>
    <xf numFmtId="0" fontId="11" fillId="0" borderId="16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4" fontId="7" fillId="0" borderId="12" xfId="0" applyNumberFormat="1" applyFont="1" applyBorder="1"/>
    <xf numFmtId="0" fontId="7" fillId="0" borderId="24" xfId="0" applyFont="1" applyBorder="1" applyAlignment="1">
      <alignment horizontal="center"/>
    </xf>
    <xf numFmtId="4" fontId="11" fillId="0" borderId="25" xfId="0" applyNumberFormat="1" applyFont="1" applyBorder="1"/>
    <xf numFmtId="0" fontId="7" fillId="0" borderId="2" xfId="0" applyFont="1" applyBorder="1"/>
    <xf numFmtId="4" fontId="11" fillId="0" borderId="28" xfId="0" applyNumberFormat="1" applyFont="1" applyBorder="1" applyAlignment="1">
      <alignment horizontal="center"/>
    </xf>
    <xf numFmtId="0" fontId="7" fillId="0" borderId="11" xfId="0" applyFont="1" applyBorder="1"/>
    <xf numFmtId="4" fontId="11" fillId="0" borderId="15" xfId="0" applyNumberFormat="1" applyFont="1" applyBorder="1"/>
    <xf numFmtId="4" fontId="11" fillId="0" borderId="11" xfId="0" applyNumberFormat="1" applyFont="1" applyBorder="1"/>
    <xf numFmtId="164" fontId="7" fillId="0" borderId="13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/>
    <xf numFmtId="0" fontId="5" fillId="0" borderId="38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38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14" fillId="0" borderId="3" xfId="0" applyFont="1" applyBorder="1"/>
    <xf numFmtId="0" fontId="11" fillId="0" borderId="1" xfId="0" applyFont="1" applyBorder="1"/>
    <xf numFmtId="0" fontId="14" fillId="0" borderId="3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22" fillId="0" borderId="0" xfId="0" applyFont="1"/>
    <xf numFmtId="0" fontId="14" fillId="0" borderId="45" xfId="0" applyFont="1" applyBorder="1" applyAlignment="1">
      <alignment horizontal="center"/>
    </xf>
    <xf numFmtId="10" fontId="11" fillId="0" borderId="45" xfId="0" applyNumberFormat="1" applyFont="1" applyBorder="1" applyAlignment="1">
      <alignment horizontal="center"/>
    </xf>
    <xf numFmtId="4" fontId="11" fillId="0" borderId="46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164" fontId="4" fillId="0" borderId="13" xfId="0" applyNumberFormat="1" applyFont="1" applyBorder="1" applyAlignment="1">
      <alignment horizontal="right"/>
    </xf>
    <xf numFmtId="4" fontId="11" fillId="0" borderId="44" xfId="0" applyNumberFormat="1" applyFont="1" applyBorder="1" applyAlignment="1">
      <alignment horizontal="center"/>
    </xf>
    <xf numFmtId="4" fontId="11" fillId="0" borderId="44" xfId="0" applyNumberFormat="1" applyFont="1" applyBorder="1"/>
    <xf numFmtId="0" fontId="3" fillId="0" borderId="1" xfId="0" applyFont="1" applyBorder="1"/>
    <xf numFmtId="0" fontId="22" fillId="0" borderId="0" xfId="0" applyFont="1" applyAlignment="1">
      <alignment horizontal="centerContinuous"/>
    </xf>
    <xf numFmtId="0" fontId="0" fillId="4" borderId="0" xfId="0" applyFill="1"/>
    <xf numFmtId="0" fontId="24" fillId="4" borderId="0" xfId="0" applyFont="1" applyFill="1" applyAlignment="1">
      <alignment horizontal="left"/>
    </xf>
    <xf numFmtId="49" fontId="11" fillId="8" borderId="22" xfId="0" applyNumberFormat="1" applyFont="1" applyFill="1" applyBorder="1" applyAlignment="1">
      <alignment horizontal="left"/>
    </xf>
    <xf numFmtId="49" fontId="14" fillId="8" borderId="11" xfId="0" applyNumberFormat="1" applyFont="1" applyFill="1" applyBorder="1" applyAlignment="1">
      <alignment horizontal="centerContinuous"/>
    </xf>
    <xf numFmtId="165" fontId="7" fillId="8" borderId="15" xfId="0" applyNumberFormat="1" applyFont="1" applyFill="1" applyBorder="1" applyAlignment="1">
      <alignment horizontal="center"/>
    </xf>
    <xf numFmtId="165" fontId="7" fillId="8" borderId="44" xfId="0" applyNumberFormat="1" applyFont="1" applyFill="1" applyBorder="1" applyAlignment="1">
      <alignment horizontal="center"/>
    </xf>
    <xf numFmtId="166" fontId="7" fillId="8" borderId="44" xfId="0" applyNumberFormat="1" applyFont="1" applyFill="1" applyBorder="1" applyAlignment="1">
      <alignment horizontal="center"/>
    </xf>
    <xf numFmtId="165" fontId="11" fillId="8" borderId="26" xfId="0" applyNumberFormat="1" applyFont="1" applyFill="1" applyBorder="1" applyAlignment="1">
      <alignment horizontal="center"/>
    </xf>
    <xf numFmtId="44" fontId="17" fillId="8" borderId="21" xfId="2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7" fillId="4" borderId="43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14" fillId="0" borderId="0" xfId="0" applyFont="1" applyAlignment="1">
      <alignment horizontal="right"/>
    </xf>
    <xf numFmtId="0" fontId="23" fillId="0" borderId="0" xfId="0" applyFont="1"/>
    <xf numFmtId="4" fontId="25" fillId="6" borderId="48" xfId="0" applyNumberFormat="1" applyFont="1" applyFill="1" applyBorder="1" applyAlignment="1">
      <alignment horizontal="left"/>
    </xf>
    <xf numFmtId="164" fontId="26" fillId="6" borderId="30" xfId="0" applyNumberFormat="1" applyFont="1" applyFill="1" applyBorder="1" applyAlignment="1">
      <alignment horizontal="right"/>
    </xf>
    <xf numFmtId="4" fontId="25" fillId="6" borderId="41" xfId="0" applyNumberFormat="1" applyFont="1" applyFill="1" applyBorder="1" applyAlignment="1">
      <alignment horizontal="left"/>
    </xf>
    <xf numFmtId="164" fontId="26" fillId="6" borderId="13" xfId="0" applyNumberFormat="1" applyFont="1" applyFill="1" applyBorder="1" applyAlignment="1">
      <alignment horizontal="right"/>
    </xf>
    <xf numFmtId="0" fontId="3" fillId="0" borderId="27" xfId="0" applyFont="1" applyBorder="1"/>
    <xf numFmtId="44" fontId="11" fillId="0" borderId="2" xfId="0" applyNumberFormat="1" applyFont="1" applyBorder="1" applyAlignment="1">
      <alignment horizontal="center"/>
    </xf>
    <xf numFmtId="0" fontId="12" fillId="0" borderId="2" xfId="0" applyFont="1" applyBorder="1"/>
    <xf numFmtId="0" fontId="3" fillId="0" borderId="22" xfId="0" applyFont="1" applyBorder="1"/>
    <xf numFmtId="4" fontId="11" fillId="0" borderId="15" xfId="0" applyNumberFormat="1" applyFont="1" applyBorder="1" applyAlignment="1">
      <alignment horizontal="center"/>
    </xf>
    <xf numFmtId="4" fontId="11" fillId="0" borderId="11" xfId="0" applyNumberFormat="1" applyFont="1" applyBorder="1" applyAlignment="1">
      <alignment horizontal="center"/>
    </xf>
    <xf numFmtId="4" fontId="11" fillId="0" borderId="26" xfId="0" applyNumberFormat="1" applyFont="1" applyBorder="1"/>
    <xf numFmtId="44" fontId="11" fillId="0" borderId="11" xfId="0" applyNumberFormat="1" applyFont="1" applyBorder="1" applyAlignment="1">
      <alignment horizontal="center"/>
    </xf>
    <xf numFmtId="0" fontId="12" fillId="0" borderId="11" xfId="0" applyFont="1" applyBorder="1"/>
    <xf numFmtId="0" fontId="11" fillId="0" borderId="11" xfId="0" applyFont="1" applyBorder="1" applyAlignment="1">
      <alignment horizontal="center"/>
    </xf>
    <xf numFmtId="4" fontId="11" fillId="0" borderId="47" xfId="0" applyNumberFormat="1" applyFont="1" applyBorder="1" applyAlignment="1">
      <alignment horizontal="center"/>
    </xf>
    <xf numFmtId="4" fontId="11" fillId="0" borderId="50" xfId="0" applyNumberFormat="1" applyFont="1" applyBorder="1" applyAlignment="1">
      <alignment horizontal="center"/>
    </xf>
    <xf numFmtId="165" fontId="5" fillId="0" borderId="0" xfId="0" applyNumberFormat="1" applyFont="1"/>
    <xf numFmtId="0" fontId="23" fillId="0" borderId="10" xfId="0" applyFont="1" applyBorder="1"/>
    <xf numFmtId="44" fontId="7" fillId="0" borderId="17" xfId="2" applyFont="1" applyFill="1" applyBorder="1" applyAlignment="1">
      <alignment horizontal="center"/>
    </xf>
    <xf numFmtId="7" fontId="3" fillId="4" borderId="13" xfId="0" applyNumberFormat="1" applyFont="1" applyFill="1" applyBorder="1" applyProtection="1">
      <protection locked="0"/>
    </xf>
    <xf numFmtId="0" fontId="5" fillId="0" borderId="29" xfId="0" applyFont="1" applyBorder="1"/>
    <xf numFmtId="164" fontId="3" fillId="0" borderId="13" xfId="0" applyNumberFormat="1" applyFont="1" applyBorder="1" applyAlignment="1">
      <alignment horizontal="right"/>
    </xf>
    <xf numFmtId="0" fontId="3" fillId="4" borderId="0" xfId="0" applyFont="1" applyFill="1" applyAlignment="1" applyProtection="1">
      <alignment horizontal="left"/>
      <protection locked="0"/>
    </xf>
    <xf numFmtId="0" fontId="3" fillId="0" borderId="36" xfId="0" applyFont="1" applyBorder="1"/>
    <xf numFmtId="0" fontId="3" fillId="0" borderId="39" xfId="0" applyFont="1" applyBorder="1"/>
    <xf numFmtId="0" fontId="3" fillId="0" borderId="37" xfId="0" applyFont="1" applyBorder="1"/>
    <xf numFmtId="0" fontId="3" fillId="0" borderId="7" xfId="0" applyFont="1" applyBorder="1"/>
    <xf numFmtId="0" fontId="5" fillId="0" borderId="52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/>
    </xf>
    <xf numFmtId="0" fontId="14" fillId="0" borderId="5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44" fontId="17" fillId="8" borderId="20" xfId="2" applyFont="1" applyFill="1" applyBorder="1" applyAlignment="1">
      <alignment horizontal="center"/>
    </xf>
    <xf numFmtId="0" fontId="24" fillId="0" borderId="0" xfId="0" applyFont="1"/>
    <xf numFmtId="0" fontId="27" fillId="4" borderId="0" xfId="0" applyFont="1" applyFill="1"/>
    <xf numFmtId="164" fontId="4" fillId="4" borderId="0" xfId="2" applyNumberFormat="1" applyFont="1" applyFill="1" applyBorder="1" applyAlignment="1" applyProtection="1">
      <alignment horizontal="center"/>
      <protection locked="0"/>
    </xf>
    <xf numFmtId="44" fontId="11" fillId="0" borderId="0" xfId="0" applyNumberFormat="1" applyFont="1"/>
    <xf numFmtId="44" fontId="11" fillId="0" borderId="0" xfId="0" applyNumberFormat="1" applyFont="1" applyAlignment="1">
      <alignment horizontal="left" indent="1"/>
    </xf>
    <xf numFmtId="0" fontId="7" fillId="0" borderId="5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2" fontId="11" fillId="0" borderId="0" xfId="0" applyNumberFormat="1" applyFont="1" applyAlignment="1">
      <alignment horizontal="center"/>
    </xf>
    <xf numFmtId="44" fontId="17" fillId="0" borderId="21" xfId="2" applyFont="1" applyFill="1" applyBorder="1" applyAlignment="1">
      <alignment horizontal="center"/>
    </xf>
    <xf numFmtId="44" fontId="17" fillId="0" borderId="20" xfId="2" applyFont="1" applyFill="1" applyBorder="1" applyAlignment="1">
      <alignment horizontal="center"/>
    </xf>
    <xf numFmtId="0" fontId="24" fillId="0" borderId="4" xfId="0" applyFont="1" applyBorder="1" applyAlignment="1">
      <alignment horizontal="left"/>
    </xf>
    <xf numFmtId="49" fontId="16" fillId="0" borderId="37" xfId="1" quotePrefix="1" applyNumberFormat="1" applyFont="1" applyFill="1" applyBorder="1" applyAlignment="1">
      <alignment horizontal="right"/>
    </xf>
    <xf numFmtId="167" fontId="11" fillId="0" borderId="0" xfId="0" applyNumberFormat="1" applyFont="1" applyAlignment="1">
      <alignment horizontal="center"/>
    </xf>
    <xf numFmtId="10" fontId="11" fillId="9" borderId="32" xfId="0" applyNumberFormat="1" applyFont="1" applyFill="1" applyBorder="1" applyAlignment="1">
      <alignment horizontal="center"/>
    </xf>
    <xf numFmtId="10" fontId="11" fillId="9" borderId="33" xfId="0" applyNumberFormat="1" applyFont="1" applyFill="1" applyBorder="1" applyAlignment="1">
      <alignment horizontal="center"/>
    </xf>
    <xf numFmtId="167" fontId="11" fillId="9" borderId="33" xfId="0" applyNumberFormat="1" applyFont="1" applyFill="1" applyBorder="1" applyAlignment="1">
      <alignment horizontal="center"/>
    </xf>
    <xf numFmtId="10" fontId="14" fillId="9" borderId="32" xfId="3" applyNumberFormat="1" applyFont="1" applyFill="1" applyBorder="1" applyAlignment="1">
      <alignment horizontal="center"/>
    </xf>
    <xf numFmtId="164" fontId="14" fillId="9" borderId="33" xfId="3" applyNumberFormat="1" applyFont="1" applyFill="1" applyBorder="1" applyAlignment="1">
      <alignment horizontal="center"/>
    </xf>
    <xf numFmtId="164" fontId="14" fillId="9" borderId="34" xfId="3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167" fontId="11" fillId="0" borderId="45" xfId="0" applyNumberFormat="1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68" fontId="7" fillId="8" borderId="11" xfId="0" applyNumberFormat="1" applyFont="1" applyFill="1" applyBorder="1" applyAlignment="1">
      <alignment horizontal="center"/>
    </xf>
    <xf numFmtId="167" fontId="11" fillId="9" borderId="34" xfId="0" applyNumberFormat="1" applyFont="1" applyFill="1" applyBorder="1" applyAlignment="1">
      <alignment horizontal="center"/>
    </xf>
    <xf numFmtId="44" fontId="11" fillId="0" borderId="0" xfId="0" applyNumberFormat="1" applyFont="1" applyAlignment="1">
      <alignment horizontal="left" indent="3"/>
    </xf>
    <xf numFmtId="169" fontId="11" fillId="0" borderId="45" xfId="0" applyNumberFormat="1" applyFont="1" applyBorder="1" applyAlignment="1">
      <alignment horizontal="center" wrapText="1"/>
    </xf>
    <xf numFmtId="170" fontId="7" fillId="8" borderId="44" xfId="0" applyNumberFormat="1" applyFont="1" applyFill="1" applyBorder="1" applyAlignment="1">
      <alignment horizontal="center"/>
    </xf>
    <xf numFmtId="7" fontId="11" fillId="0" borderId="42" xfId="0" applyNumberFormat="1" applyFont="1" applyBorder="1" applyAlignment="1">
      <alignment horizontal="right"/>
    </xf>
    <xf numFmtId="0" fontId="11" fillId="0" borderId="57" xfId="0" applyFont="1" applyBorder="1" applyAlignment="1">
      <alignment horizontal="right"/>
    </xf>
    <xf numFmtId="10" fontId="17" fillId="8" borderId="21" xfId="2" applyNumberFormat="1" applyFont="1" applyFill="1" applyBorder="1" applyAlignment="1">
      <alignment horizontal="center"/>
    </xf>
    <xf numFmtId="44" fontId="11" fillId="0" borderId="21" xfId="2" applyFont="1" applyFill="1" applyBorder="1" applyAlignment="1">
      <alignment horizontal="center"/>
    </xf>
    <xf numFmtId="44" fontId="17" fillId="8" borderId="58" xfId="2" applyFont="1" applyFill="1" applyBorder="1" applyAlignment="1">
      <alignment horizontal="center"/>
    </xf>
    <xf numFmtId="44" fontId="17" fillId="0" borderId="58" xfId="2" applyFont="1" applyFill="1" applyBorder="1" applyAlignment="1">
      <alignment horizontal="center"/>
    </xf>
    <xf numFmtId="0" fontId="18" fillId="0" borderId="0" xfId="0" applyFont="1" applyAlignment="1">
      <alignment horizontal="right"/>
    </xf>
    <xf numFmtId="4" fontId="14" fillId="0" borderId="59" xfId="0" applyNumberFormat="1" applyFont="1" applyBorder="1" applyAlignment="1">
      <alignment horizontal="center"/>
    </xf>
    <xf numFmtId="7" fontId="18" fillId="0" borderId="60" xfId="0" applyNumberFormat="1" applyFont="1" applyBorder="1" applyAlignment="1">
      <alignment horizontal="right"/>
    </xf>
    <xf numFmtId="0" fontId="18" fillId="0" borderId="61" xfId="0" applyFont="1" applyBorder="1" applyAlignment="1">
      <alignment horizontal="right"/>
    </xf>
    <xf numFmtId="0" fontId="11" fillId="0" borderId="62" xfId="0" applyFont="1" applyBorder="1" applyAlignment="1">
      <alignment horizontal="right"/>
    </xf>
    <xf numFmtId="0" fontId="16" fillId="0" borderId="0" xfId="0" applyFont="1" applyAlignment="1">
      <alignment horizontal="right"/>
    </xf>
    <xf numFmtId="7" fontId="11" fillId="0" borderId="63" xfId="0" applyNumberFormat="1" applyFont="1" applyBorder="1" applyAlignment="1">
      <alignment horizontal="right"/>
    </xf>
    <xf numFmtId="0" fontId="18" fillId="0" borderId="64" xfId="0" applyFont="1" applyBorder="1" applyAlignment="1">
      <alignment horizontal="right"/>
    </xf>
    <xf numFmtId="7" fontId="18" fillId="0" borderId="65" xfId="0" applyNumberFormat="1" applyFont="1" applyBorder="1" applyAlignment="1">
      <alignment horizontal="right"/>
    </xf>
    <xf numFmtId="4" fontId="14" fillId="0" borderId="66" xfId="0" applyNumberFormat="1" applyFont="1" applyBorder="1" applyAlignment="1">
      <alignment horizontal="center"/>
    </xf>
    <xf numFmtId="4" fontId="14" fillId="0" borderId="67" xfId="0" applyNumberFormat="1" applyFont="1" applyBorder="1" applyAlignment="1">
      <alignment horizontal="center"/>
    </xf>
    <xf numFmtId="49" fontId="14" fillId="0" borderId="28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4" fontId="14" fillId="0" borderId="28" xfId="0" applyNumberFormat="1" applyFont="1" applyBorder="1" applyAlignment="1">
      <alignment horizontal="center"/>
    </xf>
    <xf numFmtId="4" fontId="27" fillId="4" borderId="0" xfId="0" applyNumberFormat="1" applyFont="1" applyFill="1" applyAlignment="1">
      <alignment horizontal="left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3"/>
    </xf>
    <xf numFmtId="0" fontId="14" fillId="11" borderId="0" xfId="0" applyFont="1" applyFill="1" applyAlignment="1">
      <alignment horizontal="right"/>
    </xf>
    <xf numFmtId="164" fontId="14" fillId="11" borderId="33" xfId="3" applyNumberFormat="1" applyFont="1" applyFill="1" applyBorder="1" applyAlignment="1">
      <alignment horizontal="center"/>
    </xf>
    <xf numFmtId="0" fontId="5" fillId="11" borderId="59" xfId="0" applyFont="1" applyFill="1" applyBorder="1"/>
    <xf numFmtId="0" fontId="8" fillId="11" borderId="66" xfId="0" applyFont="1" applyFill="1" applyBorder="1"/>
    <xf numFmtId="0" fontId="11" fillId="11" borderId="66" xfId="0" applyFont="1" applyFill="1" applyBorder="1"/>
    <xf numFmtId="0" fontId="11" fillId="11" borderId="68" xfId="0" applyFont="1" applyFill="1" applyBorder="1"/>
    <xf numFmtId="0" fontId="5" fillId="11" borderId="14" xfId="0" applyFont="1" applyFill="1" applyBorder="1"/>
    <xf numFmtId="0" fontId="5" fillId="11" borderId="28" xfId="0" applyFont="1" applyFill="1" applyBorder="1"/>
    <xf numFmtId="0" fontId="14" fillId="11" borderId="2" xfId="0" applyFont="1" applyFill="1" applyBorder="1" applyAlignment="1">
      <alignment horizontal="right"/>
    </xf>
    <xf numFmtId="4" fontId="14" fillId="0" borderId="11" xfId="0" applyNumberFormat="1" applyFont="1" applyBorder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26" xfId="0" applyFont="1" applyBorder="1"/>
    <xf numFmtId="0" fontId="3" fillId="0" borderId="38" xfId="0" applyFont="1" applyBorder="1" applyAlignment="1">
      <alignment horizontal="center" wrapText="1"/>
    </xf>
    <xf numFmtId="0" fontId="2" fillId="0" borderId="0" xfId="5"/>
    <xf numFmtId="0" fontId="2" fillId="0" borderId="20" xfId="5" applyBorder="1"/>
    <xf numFmtId="0" fontId="32" fillId="0" borderId="43" xfId="5" applyFont="1" applyBorder="1"/>
    <xf numFmtId="0" fontId="33" fillId="0" borderId="70" xfId="5" applyFont="1" applyBorder="1" applyAlignment="1">
      <alignment horizontal="center"/>
    </xf>
    <xf numFmtId="0" fontId="33" fillId="0" borderId="70" xfId="5" applyFont="1" applyBorder="1" applyAlignment="1">
      <alignment horizontal="center" wrapText="1"/>
    </xf>
    <xf numFmtId="0" fontId="34" fillId="0" borderId="20" xfId="5" applyFont="1" applyBorder="1" applyAlignment="1">
      <alignment horizontal="center"/>
    </xf>
    <xf numFmtId="0" fontId="34" fillId="0" borderId="20" xfId="5" applyFont="1" applyBorder="1"/>
    <xf numFmtId="0" fontId="34" fillId="0" borderId="20" xfId="5" applyFont="1" applyBorder="1" applyAlignment="1">
      <alignment horizontal="center" vertical="center" wrapText="1"/>
    </xf>
    <xf numFmtId="0" fontId="34" fillId="0" borderId="20" xfId="5" applyFont="1" applyBorder="1" applyAlignment="1">
      <alignment vertical="center"/>
    </xf>
    <xf numFmtId="0" fontId="34" fillId="0" borderId="20" xfId="5" applyFont="1" applyBorder="1" applyAlignment="1">
      <alignment horizontal="center" wrapText="1"/>
    </xf>
    <xf numFmtId="0" fontId="32" fillId="0" borderId="71" xfId="5" applyFont="1" applyBorder="1" applyAlignment="1">
      <alignment horizontal="center"/>
    </xf>
    <xf numFmtId="0" fontId="2" fillId="12" borderId="58" xfId="5" applyFill="1" applyBorder="1"/>
    <xf numFmtId="0" fontId="34" fillId="12" borderId="58" xfId="5" applyFont="1" applyFill="1" applyBorder="1" applyAlignment="1">
      <alignment horizontal="center"/>
    </xf>
    <xf numFmtId="0" fontId="34" fillId="12" borderId="58" xfId="5" applyFont="1" applyFill="1" applyBorder="1"/>
    <xf numFmtId="0" fontId="34" fillId="12" borderId="20" xfId="5" applyFont="1" applyFill="1" applyBorder="1" applyAlignment="1">
      <alignment horizontal="center"/>
    </xf>
    <xf numFmtId="0" fontId="34" fillId="12" borderId="20" xfId="5" applyFont="1" applyFill="1" applyBorder="1"/>
    <xf numFmtId="0" fontId="2" fillId="12" borderId="20" xfId="5" applyFill="1" applyBorder="1"/>
    <xf numFmtId="0" fontId="34" fillId="12" borderId="20" xfId="5" applyFont="1" applyFill="1" applyBorder="1" applyAlignment="1">
      <alignment horizontal="center" vertical="center" wrapText="1"/>
    </xf>
    <xf numFmtId="0" fontId="34" fillId="12" borderId="20" xfId="5" applyFont="1" applyFill="1" applyBorder="1" applyAlignment="1">
      <alignment vertical="center" wrapText="1"/>
    </xf>
    <xf numFmtId="0" fontId="34" fillId="12" borderId="20" xfId="5" applyFont="1" applyFill="1" applyBorder="1" applyAlignment="1">
      <alignment horizontal="center" wrapText="1"/>
    </xf>
    <xf numFmtId="0" fontId="34" fillId="12" borderId="58" xfId="5" applyFont="1" applyFill="1" applyBorder="1" applyAlignment="1">
      <alignment horizontal="center" wrapText="1"/>
    </xf>
    <xf numFmtId="0" fontId="2" fillId="0" borderId="0" xfId="5" applyAlignment="1">
      <alignment wrapText="1"/>
    </xf>
    <xf numFmtId="0" fontId="0" fillId="0" borderId="0" xfId="0" applyAlignment="1">
      <alignment wrapText="1"/>
    </xf>
    <xf numFmtId="0" fontId="7" fillId="7" borderId="56" xfId="0" quotePrefix="1" applyFont="1" applyFill="1" applyBorder="1" applyAlignment="1">
      <alignment horizontal="center"/>
    </xf>
    <xf numFmtId="0" fontId="7" fillId="7" borderId="11" xfId="0" quotePrefix="1" applyFont="1" applyFill="1" applyBorder="1" applyAlignment="1">
      <alignment horizontal="center"/>
    </xf>
    <xf numFmtId="0" fontId="7" fillId="7" borderId="18" xfId="0" quotePrefix="1" applyFont="1" applyFill="1" applyBorder="1" applyAlignment="1">
      <alignment horizontal="center"/>
    </xf>
    <xf numFmtId="0" fontId="21" fillId="5" borderId="49" xfId="0" applyFont="1" applyFill="1" applyBorder="1" applyAlignment="1">
      <alignment horizontal="center"/>
    </xf>
    <xf numFmtId="0" fontId="21" fillId="5" borderId="33" xfId="0" applyFont="1" applyFill="1" applyBorder="1" applyAlignment="1">
      <alignment horizontal="center"/>
    </xf>
    <xf numFmtId="0" fontId="21" fillId="5" borderId="51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0" xfId="0" applyFont="1" applyBorder="1" applyAlignment="1">
      <alignment horizontal="center"/>
    </xf>
    <xf numFmtId="0" fontId="21" fillId="13" borderId="49" xfId="0" applyFont="1" applyFill="1" applyBorder="1" applyAlignment="1">
      <alignment horizontal="center"/>
    </xf>
    <xf numFmtId="0" fontId="21" fillId="13" borderId="33" xfId="0" applyFont="1" applyFill="1" applyBorder="1" applyAlignment="1">
      <alignment horizontal="center"/>
    </xf>
    <xf numFmtId="0" fontId="21" fillId="13" borderId="51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20" fillId="7" borderId="53" xfId="0" applyFont="1" applyFill="1" applyBorder="1" applyAlignment="1">
      <alignment horizontal="center"/>
    </xf>
    <xf numFmtId="0" fontId="29" fillId="0" borderId="49" xfId="4" applyFont="1" applyFill="1" applyBorder="1" applyAlignment="1">
      <alignment horizontal="center"/>
    </xf>
    <xf numFmtId="0" fontId="29" fillId="0" borderId="33" xfId="4" applyFont="1" applyFill="1" applyBorder="1" applyAlignment="1">
      <alignment horizontal="center"/>
    </xf>
    <xf numFmtId="0" fontId="29" fillId="0" borderId="51" xfId="4" applyFont="1" applyFill="1" applyBorder="1" applyAlignment="1">
      <alignment horizontal="center"/>
    </xf>
    <xf numFmtId="44" fontId="14" fillId="11" borderId="0" xfId="0" applyNumberFormat="1" applyFont="1" applyFill="1" applyAlignment="1">
      <alignment horizontal="center"/>
    </xf>
    <xf numFmtId="44" fontId="14" fillId="11" borderId="1" xfId="0" applyNumberFormat="1" applyFont="1" applyFill="1" applyBorder="1" applyAlignment="1">
      <alignment horizontal="center"/>
    </xf>
    <xf numFmtId="44" fontId="14" fillId="11" borderId="2" xfId="0" applyNumberFormat="1" applyFont="1" applyFill="1" applyBorder="1" applyAlignment="1">
      <alignment horizontal="center"/>
    </xf>
    <xf numFmtId="44" fontId="14" fillId="11" borderId="69" xfId="0" applyNumberFormat="1" applyFont="1" applyFill="1" applyBorder="1" applyAlignment="1">
      <alignment horizontal="center"/>
    </xf>
    <xf numFmtId="0" fontId="9" fillId="5" borderId="49" xfId="0" applyFont="1" applyFill="1" applyBorder="1" applyAlignment="1">
      <alignment horizontal="center"/>
    </xf>
    <xf numFmtId="0" fontId="9" fillId="5" borderId="33" xfId="0" applyFont="1" applyFill="1" applyBorder="1" applyAlignment="1">
      <alignment horizontal="center"/>
    </xf>
    <xf numFmtId="0" fontId="9" fillId="5" borderId="51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9" fillId="13" borderId="49" xfId="0" applyFont="1" applyFill="1" applyBorder="1" applyAlignment="1">
      <alignment horizontal="center"/>
    </xf>
    <xf numFmtId="0" fontId="9" fillId="13" borderId="33" xfId="0" applyFont="1" applyFill="1" applyBorder="1" applyAlignment="1">
      <alignment horizontal="center"/>
    </xf>
    <xf numFmtId="0" fontId="9" fillId="13" borderId="51" xfId="0" applyFont="1" applyFill="1" applyBorder="1" applyAlignment="1">
      <alignment horizontal="center"/>
    </xf>
    <xf numFmtId="0" fontId="34" fillId="0" borderId="0" xfId="5" quotePrefix="1" applyFont="1" applyAlignment="1">
      <alignment horizontal="left" vertical="center" wrapText="1"/>
    </xf>
    <xf numFmtId="0" fontId="2" fillId="0" borderId="0" xfId="5" quotePrefix="1" applyAlignment="1">
      <alignment horizontal="left" wrapText="1"/>
    </xf>
    <xf numFmtId="0" fontId="21" fillId="0" borderId="0" xfId="0" applyFont="1" applyAlignment="1">
      <alignment horizontal="center"/>
    </xf>
    <xf numFmtId="0" fontId="1" fillId="0" borderId="20" xfId="5" applyFont="1" applyBorder="1"/>
  </cellXfs>
  <cellStyles count="6">
    <cellStyle name="Bad" xfId="4" builtinId="27"/>
    <cellStyle name="Comma" xfId="1" builtinId="3"/>
    <cellStyle name="Currency" xfId="2" builtinId="4"/>
    <cellStyle name="Normal" xfId="0" builtinId="0"/>
    <cellStyle name="Normal 2" xfId="5" xr:uid="{71E71EB2-3489-4693-AC2F-DA7789680847}"/>
    <cellStyle name="Percent" xfId="3" builtinId="5"/>
  </cellStyles>
  <dxfs count="0"/>
  <tableStyles count="0" defaultTableStyle="TableStyleMedium9" defaultPivotStyle="PivotStyleLight16"/>
  <colors>
    <mruColors>
      <color rgb="FFFFCC00"/>
      <color rgb="FFFF6600"/>
      <color rgb="FF99FF9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34</xdr:row>
      <xdr:rowOff>47625</xdr:rowOff>
    </xdr:from>
    <xdr:to>
      <xdr:col>6</xdr:col>
      <xdr:colOff>276225</xdr:colOff>
      <xdr:row>35</xdr:row>
      <xdr:rowOff>152400</xdr:rowOff>
    </xdr:to>
    <xdr:sp macro="" textlink="">
      <xdr:nvSpPr>
        <xdr:cNvPr id="4714" name="Line 2">
          <a:extLst>
            <a:ext uri="{FF2B5EF4-FFF2-40B4-BE49-F238E27FC236}">
              <a16:creationId xmlns:a16="http://schemas.microsoft.com/office/drawing/2014/main" id="{00000000-0008-0000-0100-00006A120000}"/>
            </a:ext>
          </a:extLst>
        </xdr:cNvPr>
        <xdr:cNvSpPr>
          <a:spLocks noChangeShapeType="1"/>
        </xdr:cNvSpPr>
      </xdr:nvSpPr>
      <xdr:spPr bwMode="auto">
        <a:xfrm flipV="1">
          <a:off x="5362575" y="74771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152400</xdr:rowOff>
    </xdr:from>
    <xdr:to>
      <xdr:col>6</xdr:col>
      <xdr:colOff>276225</xdr:colOff>
      <xdr:row>35</xdr:row>
      <xdr:rowOff>152400</xdr:rowOff>
    </xdr:to>
    <xdr:sp macro="" textlink="">
      <xdr:nvSpPr>
        <xdr:cNvPr id="4715" name="Line 3">
          <a:extLst>
            <a:ext uri="{FF2B5EF4-FFF2-40B4-BE49-F238E27FC236}">
              <a16:creationId xmlns:a16="http://schemas.microsoft.com/office/drawing/2014/main" id="{00000000-0008-0000-0100-00006B120000}"/>
            </a:ext>
          </a:extLst>
        </xdr:cNvPr>
        <xdr:cNvSpPr>
          <a:spLocks noChangeShapeType="1"/>
        </xdr:cNvSpPr>
      </xdr:nvSpPr>
      <xdr:spPr bwMode="auto">
        <a:xfrm flipV="1">
          <a:off x="5010150" y="7753350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</xdr:colOff>
      <xdr:row>35</xdr:row>
      <xdr:rowOff>0</xdr:rowOff>
    </xdr:from>
    <xdr:to>
      <xdr:col>5</xdr:col>
      <xdr:colOff>495300</xdr:colOff>
      <xdr:row>36</xdr:row>
      <xdr:rowOff>133350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5210175" y="7720013"/>
          <a:ext cx="400050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See 1a/b</a:t>
          </a: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361951</xdr:colOff>
      <xdr:row>11</xdr:row>
      <xdr:rowOff>85725</xdr:rowOff>
    </xdr:from>
    <xdr:to>
      <xdr:col>15</xdr:col>
      <xdr:colOff>504825</xdr:colOff>
      <xdr:row>14</xdr:row>
      <xdr:rowOff>180975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8353426" y="1914525"/>
          <a:ext cx="1885949" cy="723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These are not usual benefits, however, if an employee in one of these categories has exceeded 1000 hours/fiscal year, the employee becomes a PERS member. </a:t>
          </a:r>
          <a:r>
            <a:rPr lang="en-US" sz="800" b="1" i="1" strike="noStrike">
              <a:solidFill>
                <a:srgbClr val="000000"/>
              </a:solidFill>
              <a:latin typeface="Arial"/>
              <a:cs typeface="Arial"/>
            </a:rPr>
            <a:t>(FOR THE SHADED AREA)</a:t>
          </a:r>
        </a:p>
      </xdr:txBody>
    </xdr:sp>
    <xdr:clientData/>
  </xdr:twoCellAnchor>
  <xdr:twoCellAnchor>
    <xdr:from>
      <xdr:col>11</xdr:col>
      <xdr:colOff>9525</xdr:colOff>
      <xdr:row>12</xdr:row>
      <xdr:rowOff>152400</xdr:rowOff>
    </xdr:from>
    <xdr:to>
      <xdr:col>11</xdr:col>
      <xdr:colOff>352425</xdr:colOff>
      <xdr:row>12</xdr:row>
      <xdr:rowOff>200025</xdr:rowOff>
    </xdr:to>
    <xdr:sp macro="" textlink="">
      <xdr:nvSpPr>
        <xdr:cNvPr id="4718" name="Line 6">
          <a:extLst>
            <a:ext uri="{FF2B5EF4-FFF2-40B4-BE49-F238E27FC236}">
              <a16:creationId xmlns:a16="http://schemas.microsoft.com/office/drawing/2014/main" id="{00000000-0008-0000-0100-00006E120000}"/>
            </a:ext>
          </a:extLst>
        </xdr:cNvPr>
        <xdr:cNvSpPr>
          <a:spLocks noChangeShapeType="1"/>
        </xdr:cNvSpPr>
      </xdr:nvSpPr>
      <xdr:spPr bwMode="auto">
        <a:xfrm flipH="1">
          <a:off x="8001000" y="2190750"/>
          <a:ext cx="342900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428625</xdr:colOff>
      <xdr:row>36</xdr:row>
      <xdr:rowOff>133350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8234363" y="7720013"/>
          <a:ext cx="42862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See 1c</a:t>
          </a: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228600</xdr:colOff>
      <xdr:row>35</xdr:row>
      <xdr:rowOff>152400</xdr:rowOff>
    </xdr:from>
    <xdr:to>
      <xdr:col>10</xdr:col>
      <xdr:colOff>0</xdr:colOff>
      <xdr:row>35</xdr:row>
      <xdr:rowOff>152400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7324725" y="7810500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219075</xdr:colOff>
      <xdr:row>34</xdr:row>
      <xdr:rowOff>47625</xdr:rowOff>
    </xdr:from>
    <xdr:to>
      <xdr:col>9</xdr:col>
      <xdr:colOff>219075</xdr:colOff>
      <xdr:row>35</xdr:row>
      <xdr:rowOff>152400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7315200" y="753427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249977111117893"/>
    <pageSetUpPr fitToPage="1"/>
  </sheetPr>
  <dimension ref="A1:AF52"/>
  <sheetViews>
    <sheetView tabSelected="1" workbookViewId="0">
      <selection activeCell="A6" sqref="A6"/>
    </sheetView>
  </sheetViews>
  <sheetFormatPr defaultRowHeight="12.75" x14ac:dyDescent="0.35"/>
  <cols>
    <col min="1" max="1" width="30.59765625" customWidth="1"/>
    <col min="2" max="2" width="23.59765625" style="1" customWidth="1"/>
    <col min="3" max="3" width="26.1328125" customWidth="1"/>
    <col min="4" max="4" width="23.59765625" customWidth="1"/>
    <col min="5" max="11" width="13.73046875" customWidth="1"/>
    <col min="12" max="12" width="11" style="5" hidden="1" customWidth="1"/>
    <col min="13" max="13" width="9.1328125" hidden="1" customWidth="1"/>
  </cols>
  <sheetData>
    <row r="1" spans="1:32" s="77" customFormat="1" ht="24.75" customHeight="1" thickBot="1" x14ac:dyDescent="0.65">
      <c r="A1" s="241" t="s">
        <v>63</v>
      </c>
      <c r="B1" s="242"/>
      <c r="C1" s="242"/>
      <c r="D1" s="242"/>
      <c r="E1" s="242"/>
      <c r="F1" s="242"/>
      <c r="G1" s="242"/>
      <c r="H1" s="242"/>
      <c r="I1" s="242"/>
      <c r="J1" s="242"/>
      <c r="K1" s="243"/>
      <c r="L1" s="87"/>
    </row>
    <row r="2" spans="1:32" s="77" customFormat="1" ht="24.75" customHeight="1" thickBot="1" x14ac:dyDescent="0.65">
      <c r="A2" s="241" t="s">
        <v>184</v>
      </c>
      <c r="B2" s="242"/>
      <c r="C2" s="242"/>
      <c r="D2" s="242"/>
      <c r="E2" s="242"/>
      <c r="F2" s="242"/>
      <c r="G2" s="242"/>
      <c r="H2" s="242"/>
      <c r="I2" s="242"/>
      <c r="J2" s="242"/>
      <c r="K2" s="243"/>
      <c r="L2" s="87"/>
    </row>
    <row r="3" spans="1:32" s="77" customFormat="1" ht="24.75" customHeight="1" thickBot="1" x14ac:dyDescent="0.65">
      <c r="A3" s="247" t="s">
        <v>183</v>
      </c>
      <c r="B3" s="248"/>
      <c r="C3" s="248"/>
      <c r="D3" s="248"/>
      <c r="E3" s="248"/>
      <c r="F3" s="248"/>
      <c r="G3" s="248"/>
      <c r="H3" s="248"/>
      <c r="I3" s="248"/>
      <c r="J3" s="248"/>
      <c r="K3" s="249"/>
      <c r="L3" s="87"/>
    </row>
    <row r="4" spans="1:32" s="77" customFormat="1" ht="24.75" customHeight="1" thickBot="1" x14ac:dyDescent="0.7">
      <c r="A4" s="252"/>
      <c r="B4" s="253"/>
      <c r="C4" s="253"/>
      <c r="D4" s="253"/>
      <c r="E4" s="253"/>
      <c r="F4" s="253"/>
      <c r="G4" s="253"/>
      <c r="H4" s="253"/>
      <c r="I4" s="253"/>
      <c r="J4" s="253"/>
      <c r="K4" s="254"/>
      <c r="L4" s="87"/>
    </row>
    <row r="5" spans="1:32" s="11" customFormat="1" ht="17.25" x14ac:dyDescent="0.45">
      <c r="A5" s="244" t="s">
        <v>105</v>
      </c>
      <c r="B5" s="245"/>
      <c r="C5" s="245"/>
      <c r="D5" s="245"/>
      <c r="E5" s="245"/>
      <c r="F5" s="245"/>
      <c r="G5" s="245"/>
      <c r="H5" s="245"/>
      <c r="I5" s="245"/>
      <c r="J5" s="245"/>
      <c r="K5" s="246"/>
      <c r="L5" s="10"/>
    </row>
    <row r="6" spans="1:32" ht="13.15" x14ac:dyDescent="0.4">
      <c r="A6" s="149"/>
      <c r="B6" s="148" t="s">
        <v>122</v>
      </c>
      <c r="C6" s="103"/>
      <c r="D6" s="103"/>
      <c r="E6" s="103"/>
      <c r="F6" s="103"/>
      <c r="G6" s="103"/>
      <c r="H6" s="103"/>
      <c r="I6" s="103"/>
      <c r="J6" s="103"/>
      <c r="K6" s="121"/>
    </row>
    <row r="7" spans="1:32" x14ac:dyDescent="0.35">
      <c r="A7" s="123"/>
      <c r="B7" s="148" t="s">
        <v>123</v>
      </c>
      <c r="C7" s="15">
        <f>+A7</f>
        <v>0</v>
      </c>
      <c r="D7" s="15">
        <f>+A7</f>
        <v>0</v>
      </c>
      <c r="E7" s="15">
        <f>+A7</f>
        <v>0</v>
      </c>
      <c r="F7" s="15">
        <f>+A7</f>
        <v>0</v>
      </c>
      <c r="G7" s="15">
        <f>+A7</f>
        <v>0</v>
      </c>
      <c r="H7" s="15">
        <f>+A7</f>
        <v>0</v>
      </c>
      <c r="I7" s="15">
        <f>+A7</f>
        <v>0</v>
      </c>
      <c r="J7" s="15">
        <f>+A7</f>
        <v>0</v>
      </c>
      <c r="K7" s="24"/>
    </row>
    <row r="8" spans="1:32" x14ac:dyDescent="0.35">
      <c r="A8" s="125">
        <f>VLOOKUP(D8,A15:K30,11, FALSE)</f>
        <v>0</v>
      </c>
      <c r="B8" s="31" t="s">
        <v>64</v>
      </c>
      <c r="C8" s="102" t="s">
        <v>62</v>
      </c>
      <c r="D8" s="126" t="s">
        <v>56</v>
      </c>
      <c r="E8" s="197" t="s">
        <v>124</v>
      </c>
      <c r="F8" s="88"/>
      <c r="G8" s="88"/>
      <c r="K8" s="24"/>
    </row>
    <row r="9" spans="1:32" ht="13.15" thickBot="1" x14ac:dyDescent="0.4">
      <c r="A9" s="125">
        <f>VLOOKUP(D8,A15:L30,12,FALSE)</f>
        <v>22492.799999999999</v>
      </c>
      <c r="B9" s="31" t="s">
        <v>66</v>
      </c>
      <c r="K9" s="25"/>
      <c r="L9" s="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6.5" customHeight="1" x14ac:dyDescent="0.5">
      <c r="A10" s="83"/>
      <c r="B10" s="147"/>
      <c r="C10" s="250" t="s">
        <v>17</v>
      </c>
      <c r="D10" s="250"/>
      <c r="E10" s="250"/>
      <c r="F10" s="250"/>
      <c r="G10" s="250"/>
      <c r="H10" s="250"/>
      <c r="I10" s="250"/>
      <c r="J10" s="251"/>
      <c r="K10" s="97" t="s">
        <v>15</v>
      </c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x14ac:dyDescent="0.35">
      <c r="A11" s="44" t="s">
        <v>47</v>
      </c>
      <c r="B11" s="3" t="s">
        <v>14</v>
      </c>
      <c r="C11" s="152">
        <v>519</v>
      </c>
      <c r="D11" s="82">
        <v>906</v>
      </c>
      <c r="E11" s="82">
        <v>912</v>
      </c>
      <c r="F11" s="82">
        <v>913</v>
      </c>
      <c r="G11" s="82">
        <v>914</v>
      </c>
      <c r="H11" s="82">
        <v>930</v>
      </c>
      <c r="I11" s="82">
        <v>994</v>
      </c>
      <c r="J11" s="81">
        <v>999</v>
      </c>
      <c r="K11" s="37" t="s">
        <v>16</v>
      </c>
      <c r="L11" s="6"/>
    </row>
    <row r="12" spans="1:32" ht="19.5" customHeight="1" x14ac:dyDescent="0.4">
      <c r="A12" s="107">
        <f>+A8+A9</f>
        <v>22492.799999999999</v>
      </c>
      <c r="B12" s="104" t="s">
        <v>48</v>
      </c>
      <c r="C12" s="35" t="s">
        <v>154</v>
      </c>
      <c r="D12" s="78" t="s">
        <v>1</v>
      </c>
      <c r="E12" s="78" t="s">
        <v>2</v>
      </c>
      <c r="F12" s="78" t="s">
        <v>112</v>
      </c>
      <c r="G12" s="78" t="s">
        <v>4</v>
      </c>
      <c r="H12" s="78" t="s">
        <v>5</v>
      </c>
      <c r="I12" s="78" t="s">
        <v>158</v>
      </c>
      <c r="J12" s="99" t="s">
        <v>7</v>
      </c>
      <c r="K12" s="98" t="s">
        <v>49</v>
      </c>
      <c r="L12" s="6"/>
    </row>
    <row r="13" spans="1:32" ht="18" customHeight="1" thickBot="1" x14ac:dyDescent="0.45">
      <c r="A13" s="105">
        <f>+A7+A8+A9</f>
        <v>22492.799999999999</v>
      </c>
      <c r="B13" s="106" t="s">
        <v>65</v>
      </c>
      <c r="C13" s="30">
        <v>3.7999999999999999E-2</v>
      </c>
      <c r="D13" s="79">
        <v>1.4500000000000001E-2</v>
      </c>
      <c r="E13" s="174">
        <v>1.0723E-2</v>
      </c>
      <c r="F13" s="169">
        <v>9.9000000000000008E-3</v>
      </c>
      <c r="G13" s="79">
        <v>5.0000000000000001E-4</v>
      </c>
      <c r="H13" s="79">
        <v>0.191</v>
      </c>
      <c r="I13" s="79">
        <v>6.2E-2</v>
      </c>
      <c r="J13" s="161">
        <v>0.27800000000000002</v>
      </c>
      <c r="K13" s="37" t="s">
        <v>18</v>
      </c>
      <c r="L13" s="6"/>
    </row>
    <row r="14" spans="1:32" s="4" customFormat="1" x14ac:dyDescent="0.35">
      <c r="A14" s="90" t="s">
        <v>19</v>
      </c>
      <c r="B14" s="91" t="s">
        <v>8</v>
      </c>
      <c r="C14" s="92">
        <f t="shared" ref="C14:J14" si="0">+C13</f>
        <v>3.7999999999999999E-2</v>
      </c>
      <c r="D14" s="93">
        <f t="shared" si="0"/>
        <v>1.4500000000000001E-2</v>
      </c>
      <c r="E14" s="175">
        <f t="shared" si="0"/>
        <v>1.0723E-2</v>
      </c>
      <c r="F14" s="94">
        <f t="shared" si="0"/>
        <v>9.9000000000000008E-3</v>
      </c>
      <c r="G14" s="93">
        <f t="shared" si="0"/>
        <v>5.0000000000000001E-4</v>
      </c>
      <c r="H14" s="93">
        <f t="shared" si="0"/>
        <v>0.191</v>
      </c>
      <c r="I14" s="93">
        <f t="shared" si="0"/>
        <v>6.2E-2</v>
      </c>
      <c r="J14" s="171">
        <f t="shared" si="0"/>
        <v>0.27800000000000002</v>
      </c>
      <c r="K14" s="95" t="s">
        <v>8</v>
      </c>
      <c r="L14" s="7" t="s">
        <v>8</v>
      </c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</row>
    <row r="15" spans="1:32" s="110" customFormat="1" ht="12.75" customHeight="1" x14ac:dyDescent="0.35">
      <c r="A15" s="108" t="s">
        <v>50</v>
      </c>
      <c r="B15" s="39"/>
      <c r="C15" s="40"/>
      <c r="D15" s="80">
        <f>SUM($D$14*$D$7)</f>
        <v>0</v>
      </c>
      <c r="E15" s="80">
        <f>SUM($E$14*$E$7)</f>
        <v>0</v>
      </c>
      <c r="F15" s="80">
        <f>+(653.4/12)*$A$36</f>
        <v>653.4</v>
      </c>
      <c r="G15" s="80">
        <f>SUM($G$14*$G$7)</f>
        <v>0</v>
      </c>
      <c r="H15" s="80">
        <f>SUM($H$14*$H$7)</f>
        <v>0</v>
      </c>
      <c r="I15" s="80"/>
      <c r="J15" s="9"/>
      <c r="K15" s="38">
        <f t="shared" ref="K15:K26" si="1">SUM(C15:J15)</f>
        <v>653.4</v>
      </c>
      <c r="L15" s="109">
        <f>+A35</f>
        <v>22492.799999999999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2" s="116" customFormat="1" ht="12.75" customHeight="1" x14ac:dyDescent="0.35">
      <c r="A16" s="111" t="s">
        <v>51</v>
      </c>
      <c r="B16" s="41"/>
      <c r="C16" s="112"/>
      <c r="D16" s="84">
        <f>SUM($D$14*$D$7)</f>
        <v>0</v>
      </c>
      <c r="E16" s="84">
        <f>SUM($E$14*$E$7)</f>
        <v>0</v>
      </c>
      <c r="F16" s="80">
        <f>+(653.4/12)*$A$36</f>
        <v>653.4</v>
      </c>
      <c r="G16" s="84">
        <f>SUM($G$14*$G$7)</f>
        <v>0</v>
      </c>
      <c r="H16" s="84"/>
      <c r="I16" s="84">
        <f>$I$7*$I$14</f>
        <v>0</v>
      </c>
      <c r="J16" s="113">
        <f>SUM($J$14*$J$7)</f>
        <v>0</v>
      </c>
      <c r="K16" s="114">
        <f t="shared" si="1"/>
        <v>653.4</v>
      </c>
      <c r="L16" s="115">
        <f>+A35</f>
        <v>22492.799999999999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</row>
    <row r="17" spans="1:31" s="116" customFormat="1" ht="12.75" customHeight="1" x14ac:dyDescent="0.35">
      <c r="A17" s="111" t="s">
        <v>54</v>
      </c>
      <c r="B17" s="41"/>
      <c r="C17" s="112"/>
      <c r="D17" s="84">
        <f>SUM($D$14*$D$7)</f>
        <v>0</v>
      </c>
      <c r="E17" s="84">
        <f>SUM($E$14*$E$7)</f>
        <v>0</v>
      </c>
      <c r="F17" s="80">
        <f>+(653.4/12)*$A$36</f>
        <v>653.4</v>
      </c>
      <c r="G17" s="84">
        <f>SUM($G$14*$G$7)</f>
        <v>0</v>
      </c>
      <c r="H17" s="84"/>
      <c r="I17" s="84">
        <f>$I$7*$I$14</f>
        <v>0</v>
      </c>
      <c r="J17" s="113">
        <f>SUM($J$14*$J$7)</f>
        <v>0</v>
      </c>
      <c r="K17" s="114">
        <f>SUM(C17:J17)</f>
        <v>653.4</v>
      </c>
      <c r="L17" s="115">
        <f>+A35</f>
        <v>22492.799999999999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</row>
    <row r="18" spans="1:31" s="116" customFormat="1" ht="12.75" customHeight="1" x14ac:dyDescent="0.35">
      <c r="A18" s="111" t="s">
        <v>67</v>
      </c>
      <c r="B18" s="41"/>
      <c r="C18" s="112">
        <f>SUM($C$14*$C$7)</f>
        <v>0</v>
      </c>
      <c r="D18" s="84">
        <f>SUM($D$14*$D$7)</f>
        <v>0</v>
      </c>
      <c r="E18" s="84">
        <f>SUM($E$14*$E$7)</f>
        <v>0</v>
      </c>
      <c r="F18" s="84"/>
      <c r="G18" s="84">
        <f>SUM($G$14*$G$7)</f>
        <v>0</v>
      </c>
      <c r="H18" s="84"/>
      <c r="I18" s="84"/>
      <c r="J18" s="113"/>
      <c r="K18" s="114">
        <f t="shared" si="1"/>
        <v>0</v>
      </c>
      <c r="L18" s="117">
        <v>0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</row>
    <row r="19" spans="1:31" s="116" customFormat="1" ht="12.75" customHeight="1" x14ac:dyDescent="0.35">
      <c r="A19" s="111" t="s">
        <v>55</v>
      </c>
      <c r="B19" s="41"/>
      <c r="C19" s="112">
        <f>SUM($C$14*$C$7)</f>
        <v>0</v>
      </c>
      <c r="D19" s="84">
        <f>SUM($D$14*$D$7)</f>
        <v>0</v>
      </c>
      <c r="E19" s="84">
        <f>SUM($E$14*$E$7)</f>
        <v>0</v>
      </c>
      <c r="F19" s="84">
        <f>$F$7*$F$14</f>
        <v>0</v>
      </c>
      <c r="G19" s="84">
        <f>SUM($G$14*$G$7)</f>
        <v>0</v>
      </c>
      <c r="H19" s="85"/>
      <c r="I19" s="85"/>
      <c r="J19" s="43"/>
      <c r="K19" s="114">
        <f t="shared" si="1"/>
        <v>0</v>
      </c>
      <c r="L19" s="117">
        <v>0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</row>
    <row r="20" spans="1:31" s="116" customFormat="1" ht="12.75" customHeight="1" x14ac:dyDescent="0.35">
      <c r="A20" s="111" t="s">
        <v>56</v>
      </c>
      <c r="B20" s="41"/>
      <c r="C20" s="112"/>
      <c r="D20" s="84">
        <f t="shared" ref="D20:D30" si="2">SUM($D$14*$D$7)</f>
        <v>0</v>
      </c>
      <c r="E20" s="84">
        <f t="shared" ref="E20:E30" si="3">SUM($E$14*$E$7)</f>
        <v>0</v>
      </c>
      <c r="F20" s="84">
        <f>$F$7*$F$14</f>
        <v>0</v>
      </c>
      <c r="G20" s="84">
        <f t="shared" ref="G20:G30" si="4">SUM($G$14*$G$7)</f>
        <v>0</v>
      </c>
      <c r="H20" s="84"/>
      <c r="I20" s="84">
        <f>$I$7*$I$14</f>
        <v>0</v>
      </c>
      <c r="J20" s="113">
        <f>SUM($J$14*$J$7)</f>
        <v>0</v>
      </c>
      <c r="K20" s="114">
        <f t="shared" si="1"/>
        <v>0</v>
      </c>
      <c r="L20" s="115">
        <f>+A35</f>
        <v>22492.799999999999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</row>
    <row r="21" spans="1:31" s="116" customFormat="1" ht="12.75" customHeight="1" x14ac:dyDescent="0.35">
      <c r="A21" s="111" t="s">
        <v>57</v>
      </c>
      <c r="B21" s="41"/>
      <c r="C21" s="112">
        <f t="shared" ref="C21:C24" si="5">SUM($C$14*$C$7)</f>
        <v>0</v>
      </c>
      <c r="D21" s="84">
        <f t="shared" si="2"/>
        <v>0</v>
      </c>
      <c r="E21" s="84">
        <f t="shared" si="3"/>
        <v>0</v>
      </c>
      <c r="F21" s="84"/>
      <c r="G21" s="84">
        <f t="shared" si="4"/>
        <v>0</v>
      </c>
      <c r="H21" s="84"/>
      <c r="I21" s="84"/>
      <c r="J21" s="113"/>
      <c r="K21" s="114">
        <f t="shared" si="1"/>
        <v>0</v>
      </c>
      <c r="L21" s="117">
        <v>0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spans="1:31" s="116" customFormat="1" ht="12.75" customHeight="1" x14ac:dyDescent="0.35">
      <c r="A22" s="111" t="s">
        <v>58</v>
      </c>
      <c r="B22" s="41"/>
      <c r="C22" s="112">
        <f t="shared" si="5"/>
        <v>0</v>
      </c>
      <c r="D22" s="84">
        <f t="shared" si="2"/>
        <v>0</v>
      </c>
      <c r="E22" s="84">
        <f t="shared" si="3"/>
        <v>0</v>
      </c>
      <c r="F22" s="84"/>
      <c r="G22" s="84">
        <f t="shared" si="4"/>
        <v>0</v>
      </c>
      <c r="H22" s="84"/>
      <c r="I22" s="84"/>
      <c r="J22" s="113"/>
      <c r="K22" s="114">
        <f t="shared" si="1"/>
        <v>0</v>
      </c>
      <c r="L22" s="117">
        <v>0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</row>
    <row r="23" spans="1:31" s="116" customFormat="1" ht="12.75" customHeight="1" x14ac:dyDescent="0.35">
      <c r="A23" s="111" t="s">
        <v>52</v>
      </c>
      <c r="B23" s="41"/>
      <c r="C23" s="112">
        <f t="shared" si="5"/>
        <v>0</v>
      </c>
      <c r="D23" s="84">
        <f t="shared" si="2"/>
        <v>0</v>
      </c>
      <c r="E23" s="84">
        <f t="shared" si="3"/>
        <v>0</v>
      </c>
      <c r="F23" s="84"/>
      <c r="G23" s="84">
        <f t="shared" si="4"/>
        <v>0</v>
      </c>
      <c r="H23" s="84"/>
      <c r="I23" s="84"/>
      <c r="J23" s="113"/>
      <c r="K23" s="114">
        <f t="shared" si="1"/>
        <v>0</v>
      </c>
      <c r="L23" s="117">
        <v>0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 s="116" customFormat="1" ht="12.75" customHeight="1" x14ac:dyDescent="0.35">
      <c r="A24" s="111" t="s">
        <v>59</v>
      </c>
      <c r="B24" s="41"/>
      <c r="C24" s="112">
        <f t="shared" si="5"/>
        <v>0</v>
      </c>
      <c r="D24" s="84">
        <f t="shared" si="2"/>
        <v>0</v>
      </c>
      <c r="E24" s="84">
        <f t="shared" si="3"/>
        <v>0</v>
      </c>
      <c r="F24" s="84"/>
      <c r="G24" s="84">
        <f t="shared" si="4"/>
        <v>0</v>
      </c>
      <c r="H24" s="84"/>
      <c r="I24" s="84"/>
      <c r="J24" s="113"/>
      <c r="K24" s="114">
        <f t="shared" si="1"/>
        <v>0</v>
      </c>
      <c r="L24" s="117">
        <v>0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</row>
    <row r="25" spans="1:31" s="116" customFormat="1" ht="12.75" customHeight="1" x14ac:dyDescent="0.35">
      <c r="A25" s="111" t="s">
        <v>131</v>
      </c>
      <c r="B25" s="41"/>
      <c r="C25" s="112"/>
      <c r="D25" s="84">
        <f t="shared" si="2"/>
        <v>0</v>
      </c>
      <c r="E25" s="84">
        <f t="shared" si="3"/>
        <v>0</v>
      </c>
      <c r="F25" s="84"/>
      <c r="G25" s="84">
        <f t="shared" si="4"/>
        <v>0</v>
      </c>
      <c r="H25" s="84"/>
      <c r="I25" s="84">
        <f>$I$7*$I$14</f>
        <v>0</v>
      </c>
      <c r="J25" s="113">
        <f>SUM($J$14*$J$7)</f>
        <v>0</v>
      </c>
      <c r="K25" s="114">
        <f t="shared" si="1"/>
        <v>0</v>
      </c>
      <c r="L25" s="117">
        <v>0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</row>
    <row r="26" spans="1:31" s="116" customFormat="1" ht="12.75" customHeight="1" x14ac:dyDescent="0.35">
      <c r="A26" s="111" t="s">
        <v>53</v>
      </c>
      <c r="B26" s="41"/>
      <c r="C26" s="112"/>
      <c r="D26" s="84"/>
      <c r="E26" s="84">
        <f t="shared" si="3"/>
        <v>0</v>
      </c>
      <c r="F26" s="84"/>
      <c r="G26" s="84"/>
      <c r="H26" s="84"/>
      <c r="I26" s="84"/>
      <c r="J26" s="113"/>
      <c r="K26" s="114">
        <f t="shared" si="1"/>
        <v>0</v>
      </c>
      <c r="L26" s="117">
        <v>0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</row>
    <row r="27" spans="1:31" s="116" customFormat="1" ht="12.75" customHeight="1" x14ac:dyDescent="0.35">
      <c r="A27" s="111" t="s">
        <v>113</v>
      </c>
      <c r="B27" s="41"/>
      <c r="C27" s="112"/>
      <c r="D27" s="84">
        <f t="shared" si="2"/>
        <v>0</v>
      </c>
      <c r="E27" s="84">
        <f t="shared" si="3"/>
        <v>0</v>
      </c>
      <c r="F27" s="84"/>
      <c r="G27" s="84">
        <f t="shared" si="4"/>
        <v>0</v>
      </c>
      <c r="H27" s="84">
        <f t="shared" ref="H27:H30" si="6">SUM($H$14*$H$7)</f>
        <v>0</v>
      </c>
      <c r="I27" s="84"/>
      <c r="J27" s="118"/>
      <c r="K27" s="114">
        <f t="shared" ref="K27:K30" si="7">SUM(C27:J27)</f>
        <v>0</v>
      </c>
      <c r="L27" s="117">
        <v>0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</row>
    <row r="28" spans="1:31" s="116" customFormat="1" ht="12.75" customHeight="1" x14ac:dyDescent="0.35">
      <c r="A28" s="111" t="s">
        <v>60</v>
      </c>
      <c r="B28" s="41"/>
      <c r="C28" s="119"/>
      <c r="D28" s="84">
        <f t="shared" si="2"/>
        <v>0</v>
      </c>
      <c r="E28" s="84">
        <f t="shared" si="3"/>
        <v>0</v>
      </c>
      <c r="F28" s="80">
        <f>+(653.4/12)*$A$36</f>
        <v>653.4</v>
      </c>
      <c r="G28" s="84">
        <f t="shared" si="4"/>
        <v>0</v>
      </c>
      <c r="H28" s="84">
        <f t="shared" si="6"/>
        <v>0</v>
      </c>
      <c r="I28" s="84"/>
      <c r="J28" s="118"/>
      <c r="K28" s="114">
        <f t="shared" si="7"/>
        <v>653.4</v>
      </c>
      <c r="L28" s="115">
        <f>+A35</f>
        <v>22492.799999999999</v>
      </c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</row>
    <row r="29" spans="1:31" s="116" customFormat="1" ht="12.75" customHeight="1" x14ac:dyDescent="0.35">
      <c r="A29" s="111" t="s">
        <v>114</v>
      </c>
      <c r="B29" s="41"/>
      <c r="C29" s="112"/>
      <c r="D29" s="84">
        <f t="shared" si="2"/>
        <v>0</v>
      </c>
      <c r="E29" s="84">
        <f t="shared" si="3"/>
        <v>0</v>
      </c>
      <c r="F29" s="84"/>
      <c r="G29" s="84">
        <f t="shared" si="4"/>
        <v>0</v>
      </c>
      <c r="H29" s="84">
        <f t="shared" si="6"/>
        <v>0</v>
      </c>
      <c r="I29" s="84"/>
      <c r="J29" s="118"/>
      <c r="K29" s="114">
        <f t="shared" si="7"/>
        <v>0</v>
      </c>
      <c r="L29" s="117">
        <v>0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</row>
    <row r="30" spans="1:31" s="116" customFormat="1" ht="12.75" customHeight="1" x14ac:dyDescent="0.35">
      <c r="A30" s="111" t="s">
        <v>61</v>
      </c>
      <c r="B30" s="41"/>
      <c r="C30" s="119"/>
      <c r="D30" s="84">
        <f t="shared" si="2"/>
        <v>0</v>
      </c>
      <c r="E30" s="84">
        <f t="shared" si="3"/>
        <v>0</v>
      </c>
      <c r="F30" s="84"/>
      <c r="G30" s="84">
        <f t="shared" si="4"/>
        <v>0</v>
      </c>
      <c r="H30" s="84">
        <f t="shared" si="6"/>
        <v>0</v>
      </c>
      <c r="I30" s="84"/>
      <c r="J30" s="118"/>
      <c r="K30" s="114">
        <f t="shared" si="7"/>
        <v>0</v>
      </c>
      <c r="L30" s="117">
        <v>0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</row>
    <row r="31" spans="1:31" s="116" customFormat="1" ht="13.5" x14ac:dyDescent="0.35">
      <c r="A31" s="111"/>
      <c r="B31" s="41"/>
      <c r="C31" s="42"/>
      <c r="D31" s="43"/>
      <c r="E31" s="43"/>
      <c r="F31" s="209"/>
      <c r="G31" s="43"/>
      <c r="H31" s="43"/>
      <c r="I31" s="43"/>
      <c r="J31" s="43"/>
      <c r="K31" s="114"/>
      <c r="L31" s="117" t="s">
        <v>8</v>
      </c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</row>
    <row r="32" spans="1:31" s="4" customFormat="1" x14ac:dyDescent="0.35">
      <c r="A32" s="32"/>
      <c r="B32" s="8"/>
      <c r="C32" s="33"/>
      <c r="D32" s="13"/>
      <c r="E32" s="13"/>
      <c r="F32" s="13"/>
      <c r="G32" s="13"/>
      <c r="H32" s="13"/>
      <c r="I32" s="13"/>
      <c r="J32" s="16" t="s">
        <v>8</v>
      </c>
      <c r="K32" s="213" t="s">
        <v>8</v>
      </c>
      <c r="L32" s="6" t="s">
        <v>8</v>
      </c>
    </row>
    <row r="33" spans="1:13" s="4" customFormat="1" x14ac:dyDescent="0.35">
      <c r="A33" s="238" t="s">
        <v>115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  <c r="L33" s="6"/>
    </row>
    <row r="34" spans="1:13" s="4" customFormat="1" x14ac:dyDescent="0.35">
      <c r="A34" s="34" t="s">
        <v>12</v>
      </c>
      <c r="B34" s="8"/>
      <c r="C34" s="183"/>
      <c r="D34" s="183"/>
      <c r="E34" s="191" t="s">
        <v>9</v>
      </c>
      <c r="F34" s="192" t="s">
        <v>10</v>
      </c>
      <c r="G34" s="45"/>
      <c r="H34" s="183"/>
      <c r="I34" s="191" t="s">
        <v>9</v>
      </c>
      <c r="J34" s="192" t="s">
        <v>10</v>
      </c>
      <c r="K34" s="26" t="s">
        <v>8</v>
      </c>
      <c r="L34" s="6" t="s">
        <v>8</v>
      </c>
    </row>
    <row r="35" spans="1:13" s="4" customFormat="1" ht="13.15" thickBot="1" x14ac:dyDescent="0.4">
      <c r="A35" s="122">
        <f>IF(D8=A28,(F36+F37+J37+J38),(F36+F38+J36+J37+J38))</f>
        <v>22492.799999999999</v>
      </c>
      <c r="B35" s="12"/>
      <c r="C35" s="46"/>
      <c r="D35" s="193" t="s">
        <v>121</v>
      </c>
      <c r="E35" s="194" t="s">
        <v>13</v>
      </c>
      <c r="F35" s="195" t="s">
        <v>11</v>
      </c>
      <c r="G35" s="45"/>
      <c r="H35" s="196" t="s">
        <v>121</v>
      </c>
      <c r="I35" s="194" t="s">
        <v>13</v>
      </c>
      <c r="J35" s="195" t="s">
        <v>11</v>
      </c>
      <c r="K35" s="27" t="s">
        <v>8</v>
      </c>
      <c r="L35" s="6" t="s">
        <v>8</v>
      </c>
    </row>
    <row r="36" spans="1:13" s="4" customFormat="1" ht="13.15" thickBot="1" x14ac:dyDescent="0.4">
      <c r="A36" s="100">
        <v>12</v>
      </c>
      <c r="B36" s="89" t="s">
        <v>125</v>
      </c>
      <c r="C36" s="184"/>
      <c r="D36" s="190" t="s">
        <v>31</v>
      </c>
      <c r="E36" s="180">
        <v>7.25</v>
      </c>
      <c r="F36" s="181">
        <f>IF($D$8=$A$20,IF($L$36&lt;0.4999,0,IF($L$36&lt;0.59,(E36*12)*0.6,IF($L$36&lt;0.721,(E36*12)*0.75,IF($L$36&lt;0.821,(E36*12)*0.85,(E36*12))))),((E36*12)*$L$36))</f>
        <v>87</v>
      </c>
      <c r="G36" s="182"/>
      <c r="H36" s="182" t="s">
        <v>33</v>
      </c>
      <c r="I36" s="180">
        <v>16.5</v>
      </c>
      <c r="J36" s="181">
        <f>IF($D$8=$A$20,IF($L$36&lt;0.4999,0,IF($L$36&lt;0.59,(I36*12)*0.6,IF($L$36&lt;0.721,(I36*12)*0.75,IF($L$36&lt;0.821,(I36*12)*0.85,(I36*12))))),((I36*12)*$L$36))</f>
        <v>198</v>
      </c>
      <c r="K36" s="28" t="s">
        <v>8</v>
      </c>
      <c r="L36" s="156">
        <f>ROUND(M36,2)</f>
        <v>1</v>
      </c>
      <c r="M36" s="4">
        <f>+(A36/12)*(A37/40)</f>
        <v>1</v>
      </c>
    </row>
    <row r="37" spans="1:13" s="4" customFormat="1" ht="13.15" thickBot="1" x14ac:dyDescent="0.4">
      <c r="A37" s="100">
        <v>40</v>
      </c>
      <c r="B37" s="89" t="s">
        <v>126</v>
      </c>
      <c r="C37" s="176"/>
      <c r="D37" s="176" t="s">
        <v>119</v>
      </c>
      <c r="E37" s="146">
        <v>1739.44</v>
      </c>
      <c r="F37" s="158">
        <f>IF($D$8=$A$20,IF($L$36&lt;0.4999,0,IF($L$36&lt;0.59,(E37*12)*0.6,IF($L$36&lt;0.721,(E37*12)*0.75,IF($L$36&lt;0.821,(E37*12)*0.85,(E37*12))))),((E37*12)*$L$36))</f>
        <v>20873.28</v>
      </c>
      <c r="G37" s="185"/>
      <c r="H37" s="189" t="s">
        <v>32</v>
      </c>
      <c r="I37" s="180">
        <v>104.37</v>
      </c>
      <c r="J37" s="158">
        <f>IF($D$8=$A$20,IF($L$36&lt;0.4999,0,IF($L$36&lt;0.59,(I37*12)*0.6,IF($L$36&lt;0.721,(I37*12)*0.75,IF($L$36&lt;0.821,(I37*12)*0.85,(I37*12))))),((I37*12)*$L$36))</f>
        <v>1252.44</v>
      </c>
      <c r="K37" s="28" t="s">
        <v>8</v>
      </c>
      <c r="L37" s="6"/>
    </row>
    <row r="38" spans="1:13" s="4" customFormat="1" ht="13.15" thickBot="1" x14ac:dyDescent="0.4">
      <c r="A38" s="124"/>
      <c r="B38" s="159"/>
      <c r="C38" s="188"/>
      <c r="D38" s="188" t="s">
        <v>118</v>
      </c>
      <c r="E38" s="96">
        <v>1746.28</v>
      </c>
      <c r="F38" s="157">
        <f>IF($D$8=$A$20,IF($L$36&lt;0.4999,0,IF($L$36&lt;0.59,(E38*12)*0.6,IF($L$36&lt;0.721,(E38*12)*0.75,IF($L$36&lt;0.821,(E38*12)*0.85,(E38*12))))),((E38*12)*$L$36))</f>
        <v>20955.36</v>
      </c>
      <c r="G38" s="186"/>
      <c r="H38" s="177" t="s">
        <v>117</v>
      </c>
      <c r="I38" s="178">
        <v>1.9599999999999999E-2</v>
      </c>
      <c r="J38" s="179">
        <f>0.0196*A7</f>
        <v>0</v>
      </c>
      <c r="K38" s="36"/>
      <c r="L38" s="6"/>
    </row>
    <row r="39" spans="1:13" s="18" customFormat="1" ht="12.75" customHeight="1" x14ac:dyDescent="0.3">
      <c r="B39" s="1"/>
      <c r="E39" s="18" t="s">
        <v>8</v>
      </c>
      <c r="K39" s="187" t="s">
        <v>187</v>
      </c>
      <c r="L39" s="19"/>
    </row>
    <row r="40" spans="1:13" s="21" customFormat="1" ht="11.65" x14ac:dyDescent="0.35">
      <c r="A40" s="150" t="s">
        <v>106</v>
      </c>
      <c r="B40" s="20"/>
      <c r="D40" s="22"/>
      <c r="L40" s="23"/>
    </row>
    <row r="41" spans="1:13" x14ac:dyDescent="0.35">
      <c r="A41" s="151" t="s">
        <v>133</v>
      </c>
    </row>
    <row r="42" spans="1:13" x14ac:dyDescent="0.35">
      <c r="A42" s="151" t="s">
        <v>132</v>
      </c>
    </row>
    <row r="43" spans="1:13" x14ac:dyDescent="0.35">
      <c r="A43" s="151" t="s">
        <v>182</v>
      </c>
    </row>
    <row r="44" spans="1:13" x14ac:dyDescent="0.35">
      <c r="A44" s="151" t="s">
        <v>127</v>
      </c>
    </row>
    <row r="45" spans="1:13" x14ac:dyDescent="0.35">
      <c r="A45" s="173" t="s">
        <v>116</v>
      </c>
    </row>
    <row r="46" spans="1:13" x14ac:dyDescent="0.35">
      <c r="A46" s="198" t="s">
        <v>157</v>
      </c>
    </row>
    <row r="47" spans="1:13" x14ac:dyDescent="0.35">
      <c r="A47" s="198" t="s">
        <v>155</v>
      </c>
    </row>
    <row r="48" spans="1:13" x14ac:dyDescent="0.35">
      <c r="A48" s="198" t="s">
        <v>180</v>
      </c>
    </row>
    <row r="49" spans="1:1" x14ac:dyDescent="0.35">
      <c r="A49" s="199" t="s">
        <v>185</v>
      </c>
    </row>
    <row r="50" spans="1:1" x14ac:dyDescent="0.35">
      <c r="A50" s="199" t="s">
        <v>186</v>
      </c>
    </row>
    <row r="51" spans="1:1" x14ac:dyDescent="0.35">
      <c r="A51" s="198" t="s">
        <v>181</v>
      </c>
    </row>
    <row r="52" spans="1:1" x14ac:dyDescent="0.35">
      <c r="A52" s="198" t="s">
        <v>156</v>
      </c>
    </row>
  </sheetData>
  <sheetProtection algorithmName="SHA-512" hashValue="RRC260CyQppk+OWpPN7lL05C3irYFHNCt+QmF0IrgdV6IrCduJDnT6on70hZ3jTFzpH7zUBaTXg7POfz85KtBA==" saltValue="08H3ozkNK0DYH/fb+83MkQ==" spinCount="100000" sheet="1" objects="1" scenarios="1" selectLockedCells="1"/>
  <mergeCells count="7">
    <mergeCell ref="A33:K33"/>
    <mergeCell ref="A1:K1"/>
    <mergeCell ref="A5:K5"/>
    <mergeCell ref="A3:K3"/>
    <mergeCell ref="C10:J10"/>
    <mergeCell ref="A4:K4"/>
    <mergeCell ref="A2:K2"/>
  </mergeCells>
  <phoneticPr fontId="18" type="noConversion"/>
  <dataValidations count="2">
    <dataValidation type="list" allowBlank="1" showInputMessage="1" showErrorMessage="1" sqref="D8" xr:uid="{00000000-0002-0000-0000-000000000000}">
      <formula1>EmployeeType</formula1>
    </dataValidation>
    <dataValidation type="whole" operator="greaterThanOrEqual" allowBlank="1" showErrorMessage="1" error="Employees Must work at least 20 hours to be eligible for Fixed Benefits. " sqref="A37" xr:uid="{00000000-0002-0000-0000-000001000000}">
      <formula1>20</formula1>
    </dataValidation>
  </dataValidations>
  <printOptions horizontalCentered="1"/>
  <pageMargins left="0.25" right="0.25" top="1" bottom="0.5" header="0.5" footer="0.5"/>
  <pageSetup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indexed="46"/>
    <pageSetUpPr fitToPage="1"/>
  </sheetPr>
  <dimension ref="A1:P51"/>
  <sheetViews>
    <sheetView workbookViewId="0">
      <selection sqref="A1:P1"/>
    </sheetView>
  </sheetViews>
  <sheetFormatPr defaultColWidth="9.1328125" defaultRowHeight="12.75" x14ac:dyDescent="0.35"/>
  <cols>
    <col min="1" max="1" width="4.59765625" style="50" customWidth="1"/>
    <col min="2" max="2" width="39.1328125" style="4" bestFit="1" customWidth="1"/>
    <col min="3" max="3" width="10.3984375" style="4" customWidth="1"/>
    <col min="4" max="16" width="8.73046875" style="4" customWidth="1"/>
    <col min="17" max="16384" width="9.1328125" style="4"/>
  </cols>
  <sheetData>
    <row r="1" spans="1:16" ht="15.4" thickBot="1" x14ac:dyDescent="0.45">
      <c r="A1" s="259" t="s">
        <v>103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1"/>
    </row>
    <row r="2" spans="1:16" ht="15.4" thickBot="1" x14ac:dyDescent="0.45">
      <c r="A2" s="259" t="str">
        <f>'Benefit Calculations'!A2:K2</f>
        <v>FY 2025:  July 1, 2024 through June 30, 2025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1"/>
    </row>
    <row r="3" spans="1:16" ht="15.4" thickBot="1" x14ac:dyDescent="0.45">
      <c r="A3" s="265" t="str">
        <f>'Benefit Calculations'!A3:K3</f>
        <v>TENTATIVE BUDGET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7"/>
    </row>
    <row r="4" spans="1:16" ht="13.15" thickBot="1" x14ac:dyDescent="0.4"/>
    <row r="5" spans="1:16" s="50" customFormat="1" ht="13.15" thickTop="1" x14ac:dyDescent="0.35">
      <c r="A5" s="47"/>
      <c r="B5" s="48"/>
      <c r="C5" s="49"/>
      <c r="D5" s="262" t="s">
        <v>21</v>
      </c>
      <c r="E5" s="263"/>
      <c r="F5" s="263"/>
      <c r="G5" s="263"/>
      <c r="H5" s="263"/>
      <c r="I5" s="263"/>
      <c r="J5" s="263"/>
      <c r="K5" s="263"/>
      <c r="L5" s="262"/>
      <c r="M5" s="263"/>
      <c r="N5" s="263"/>
      <c r="O5" s="263"/>
      <c r="P5" s="264"/>
    </row>
    <row r="6" spans="1:16" s="50" customFormat="1" x14ac:dyDescent="0.35">
      <c r="A6" s="51"/>
      <c r="B6" s="52"/>
      <c r="D6" s="53" t="s">
        <v>22</v>
      </c>
      <c r="E6" s="54" t="s">
        <v>22</v>
      </c>
      <c r="F6" s="54" t="s">
        <v>22</v>
      </c>
      <c r="G6" s="54" t="s">
        <v>22</v>
      </c>
      <c r="H6" s="54" t="s">
        <v>22</v>
      </c>
      <c r="I6" s="54" t="s">
        <v>22</v>
      </c>
      <c r="J6" s="54" t="s">
        <v>22</v>
      </c>
      <c r="K6" s="54" t="s">
        <v>22</v>
      </c>
      <c r="L6" s="53" t="s">
        <v>22</v>
      </c>
      <c r="M6" s="54" t="s">
        <v>22</v>
      </c>
      <c r="N6" s="54" t="s">
        <v>22</v>
      </c>
      <c r="O6" s="54" t="s">
        <v>22</v>
      </c>
      <c r="P6" s="55" t="s">
        <v>22</v>
      </c>
    </row>
    <row r="7" spans="1:16" s="50" customFormat="1" ht="13.15" x14ac:dyDescent="0.4">
      <c r="A7" s="51"/>
      <c r="B7" s="52"/>
      <c r="C7" s="56" t="s">
        <v>34</v>
      </c>
      <c r="D7" s="17">
        <v>519</v>
      </c>
      <c r="E7" s="57">
        <v>906</v>
      </c>
      <c r="F7" s="57">
        <v>912</v>
      </c>
      <c r="G7" s="57">
        <v>913</v>
      </c>
      <c r="H7" s="57">
        <v>914</v>
      </c>
      <c r="I7" s="57">
        <v>930</v>
      </c>
      <c r="J7" s="57">
        <v>994</v>
      </c>
      <c r="K7" s="57">
        <v>999</v>
      </c>
      <c r="L7" s="17">
        <v>485</v>
      </c>
      <c r="M7" s="57">
        <v>490</v>
      </c>
      <c r="N7" s="57">
        <v>491</v>
      </c>
      <c r="O7" s="57">
        <v>331</v>
      </c>
      <c r="P7" s="58">
        <v>493</v>
      </c>
    </row>
    <row r="8" spans="1:16" s="50" customFormat="1" ht="13.5" thickBot="1" x14ac:dyDescent="0.45">
      <c r="A8" s="51"/>
      <c r="B8" s="59" t="s">
        <v>23</v>
      </c>
      <c r="C8" s="56" t="s">
        <v>35</v>
      </c>
      <c r="D8" s="17" t="s">
        <v>0</v>
      </c>
      <c r="E8" s="57" t="s">
        <v>1</v>
      </c>
      <c r="F8" s="57" t="s">
        <v>24</v>
      </c>
      <c r="G8" s="57" t="s">
        <v>3</v>
      </c>
      <c r="H8" s="57" t="s">
        <v>4</v>
      </c>
      <c r="I8" s="57" t="s">
        <v>5</v>
      </c>
      <c r="J8" s="57" t="s">
        <v>6</v>
      </c>
      <c r="K8" s="57" t="s">
        <v>7</v>
      </c>
      <c r="L8" s="17" t="s">
        <v>104</v>
      </c>
      <c r="M8" s="57" t="s">
        <v>29</v>
      </c>
      <c r="N8" s="57" t="s">
        <v>26</v>
      </c>
      <c r="O8" s="57" t="s">
        <v>25</v>
      </c>
      <c r="P8" s="58" t="s">
        <v>20</v>
      </c>
    </row>
    <row r="9" spans="1:16" s="19" customFormat="1" ht="13.5" thickBot="1" x14ac:dyDescent="0.45">
      <c r="A9" s="60"/>
      <c r="B9" s="59" t="s">
        <v>27</v>
      </c>
      <c r="C9" s="56" t="s">
        <v>36</v>
      </c>
      <c r="D9" s="162">
        <f>+'Benefit Calculations'!C13</f>
        <v>3.7999999999999999E-2</v>
      </c>
      <c r="E9" s="163">
        <f>+'Benefit Calculations'!D13</f>
        <v>1.4500000000000001E-2</v>
      </c>
      <c r="F9" s="164">
        <f>+'Benefit Calculations'!E13</f>
        <v>1.0723E-2</v>
      </c>
      <c r="G9" s="164">
        <f>+'Benefit Calculations'!F13</f>
        <v>9.9000000000000008E-3</v>
      </c>
      <c r="H9" s="163">
        <f>+'Benefit Calculations'!G13</f>
        <v>5.0000000000000001E-4</v>
      </c>
      <c r="I9" s="163">
        <f>+'Benefit Calculations'!H13</f>
        <v>0.191</v>
      </c>
      <c r="J9" s="163">
        <f>+'Benefit Calculations'!I13</f>
        <v>6.2E-2</v>
      </c>
      <c r="K9" s="172">
        <f>+'Benefit Calculations'!J13</f>
        <v>0.27800000000000002</v>
      </c>
      <c r="L9" s="165">
        <f>+'Benefit Calculations'!I38</f>
        <v>1.9599999999999999E-2</v>
      </c>
      <c r="M9" s="166">
        <f>+'Benefit Calculations'!I36*12</f>
        <v>198</v>
      </c>
      <c r="N9" s="166">
        <f>+'Benefit Calculations'!E36*12</f>
        <v>87</v>
      </c>
      <c r="O9" s="201" t="s">
        <v>120</v>
      </c>
      <c r="P9" s="167">
        <f>+'Benefit Calculations'!I37*12</f>
        <v>1252.44</v>
      </c>
    </row>
    <row r="10" spans="1:16" s="64" customFormat="1" ht="17.100000000000001" customHeight="1" x14ac:dyDescent="0.35">
      <c r="A10" s="133" t="s">
        <v>68</v>
      </c>
      <c r="B10" s="127" t="s">
        <v>69</v>
      </c>
      <c r="C10" s="61">
        <v>2191</v>
      </c>
      <c r="D10" s="62"/>
      <c r="E10" s="61">
        <v>3321</v>
      </c>
      <c r="F10" s="61">
        <v>3621</v>
      </c>
      <c r="G10" s="61">
        <v>3921</v>
      </c>
      <c r="H10" s="61">
        <v>3521</v>
      </c>
      <c r="I10" s="61"/>
      <c r="J10" s="61">
        <v>3321</v>
      </c>
      <c r="K10" s="61">
        <v>3221</v>
      </c>
      <c r="L10" s="133" t="s">
        <v>107</v>
      </c>
      <c r="M10" s="61">
        <v>3421</v>
      </c>
      <c r="N10" s="61">
        <v>3421</v>
      </c>
      <c r="O10" s="61">
        <v>3421</v>
      </c>
      <c r="P10" s="63">
        <v>3421</v>
      </c>
    </row>
    <row r="11" spans="1:16" ht="17.100000000000001" customHeight="1" x14ac:dyDescent="0.35">
      <c r="A11" s="134" t="s">
        <v>70</v>
      </c>
      <c r="B11" s="86" t="s">
        <v>71</v>
      </c>
      <c r="C11" s="65">
        <v>2211</v>
      </c>
      <c r="D11" s="51"/>
      <c r="E11" s="50">
        <v>3310</v>
      </c>
      <c r="F11" s="50">
        <v>3610</v>
      </c>
      <c r="G11" s="50">
        <v>3910</v>
      </c>
      <c r="H11" s="50">
        <v>3510</v>
      </c>
      <c r="I11" s="50"/>
      <c r="J11" s="50">
        <v>3310</v>
      </c>
      <c r="K11" s="50">
        <v>3210</v>
      </c>
      <c r="L11" s="134" t="s">
        <v>108</v>
      </c>
      <c r="M11" s="50">
        <v>3410</v>
      </c>
      <c r="N11" s="50">
        <v>3410</v>
      </c>
      <c r="O11" s="50">
        <v>3410</v>
      </c>
      <c r="P11" s="52">
        <v>3410</v>
      </c>
    </row>
    <row r="12" spans="1:16" ht="17.100000000000001" customHeight="1" x14ac:dyDescent="0.35">
      <c r="A12" s="134" t="s">
        <v>72</v>
      </c>
      <c r="B12" s="86" t="s">
        <v>76</v>
      </c>
      <c r="C12" s="50">
        <v>2191</v>
      </c>
      <c r="D12" s="51">
        <v>3721</v>
      </c>
      <c r="E12" s="50">
        <v>3321</v>
      </c>
      <c r="F12" s="50">
        <v>3621</v>
      </c>
      <c r="G12" s="50"/>
      <c r="H12" s="50">
        <v>3521</v>
      </c>
      <c r="I12" s="50"/>
      <c r="J12" s="66">
        <v>3321</v>
      </c>
      <c r="K12" s="66">
        <v>3221</v>
      </c>
      <c r="L12" s="51"/>
      <c r="M12" s="50"/>
      <c r="N12" s="50"/>
      <c r="O12" s="50"/>
      <c r="P12" s="52"/>
    </row>
    <row r="13" spans="1:16" ht="17.100000000000001" customHeight="1" x14ac:dyDescent="0.35">
      <c r="A13" s="134" t="s">
        <v>73</v>
      </c>
      <c r="B13" s="86" t="s">
        <v>82</v>
      </c>
      <c r="C13" s="65">
        <v>2211</v>
      </c>
      <c r="D13" s="51">
        <v>3710</v>
      </c>
      <c r="E13" s="50">
        <v>3310</v>
      </c>
      <c r="F13" s="50">
        <v>3610</v>
      </c>
      <c r="G13" s="50"/>
      <c r="H13" s="50">
        <v>3510</v>
      </c>
      <c r="I13" s="50"/>
      <c r="J13" s="66">
        <v>3310</v>
      </c>
      <c r="K13" s="66">
        <v>3210</v>
      </c>
      <c r="L13" s="51"/>
      <c r="M13" s="50"/>
      <c r="N13" s="50"/>
      <c r="O13" s="50"/>
      <c r="P13" s="52"/>
    </row>
    <row r="14" spans="1:16" s="29" customFormat="1" ht="17.100000000000001" customHeight="1" thickBot="1" x14ac:dyDescent="0.4">
      <c r="A14" s="134" t="s">
        <v>74</v>
      </c>
      <c r="B14" s="86" t="s">
        <v>77</v>
      </c>
      <c r="C14" s="50">
        <v>2191</v>
      </c>
      <c r="D14" s="51">
        <v>3721</v>
      </c>
      <c r="E14" s="50">
        <v>3321</v>
      </c>
      <c r="F14" s="50">
        <v>3621</v>
      </c>
      <c r="G14" s="50"/>
      <c r="H14" s="50">
        <v>3521</v>
      </c>
      <c r="I14" s="50"/>
      <c r="J14" s="66">
        <v>3321</v>
      </c>
      <c r="K14" s="66">
        <v>3321</v>
      </c>
      <c r="L14" s="51"/>
      <c r="M14" s="50"/>
      <c r="N14" s="50"/>
      <c r="O14" s="50"/>
      <c r="P14" s="52"/>
    </row>
    <row r="15" spans="1:16" ht="17.100000000000001" customHeight="1" thickBot="1" x14ac:dyDescent="0.4">
      <c r="A15" s="134" t="s">
        <v>75</v>
      </c>
      <c r="B15" s="86" t="s">
        <v>83</v>
      </c>
      <c r="C15" s="50">
        <v>2211</v>
      </c>
      <c r="D15" s="51">
        <v>3710</v>
      </c>
      <c r="E15" s="50">
        <v>3310</v>
      </c>
      <c r="F15" s="50">
        <v>3610</v>
      </c>
      <c r="G15" s="50"/>
      <c r="H15" s="50">
        <v>3510</v>
      </c>
      <c r="I15" s="50"/>
      <c r="J15" s="66">
        <v>3310</v>
      </c>
      <c r="K15" s="66">
        <v>3210</v>
      </c>
      <c r="L15" s="168"/>
      <c r="M15" s="50"/>
      <c r="N15" s="50"/>
      <c r="O15" s="50"/>
      <c r="P15" s="52"/>
    </row>
    <row r="16" spans="1:16" s="145" customFormat="1" ht="64.5" customHeight="1" x14ac:dyDescent="0.35">
      <c r="A16" s="139" t="s">
        <v>78</v>
      </c>
      <c r="B16" s="140" t="s">
        <v>60</v>
      </c>
      <c r="C16" s="141" t="s">
        <v>102</v>
      </c>
      <c r="D16" s="142"/>
      <c r="E16" s="143">
        <v>3310</v>
      </c>
      <c r="F16" s="143">
        <v>3610</v>
      </c>
      <c r="G16" s="143">
        <v>3910</v>
      </c>
      <c r="H16" s="143">
        <v>3510</v>
      </c>
      <c r="I16" s="143">
        <v>3110</v>
      </c>
      <c r="J16" s="143"/>
      <c r="K16" s="143"/>
      <c r="L16" s="155" t="s">
        <v>108</v>
      </c>
      <c r="M16" s="143"/>
      <c r="N16" s="143">
        <v>3410</v>
      </c>
      <c r="O16" s="143">
        <v>3410</v>
      </c>
      <c r="P16" s="144">
        <v>3410</v>
      </c>
    </row>
    <row r="17" spans="1:16" ht="17.100000000000001" customHeight="1" x14ac:dyDescent="0.35">
      <c r="A17" s="134" t="s">
        <v>45</v>
      </c>
      <c r="B17" s="86" t="s">
        <v>81</v>
      </c>
      <c r="C17" s="67">
        <v>1330</v>
      </c>
      <c r="D17" s="51"/>
      <c r="E17" s="210" t="s">
        <v>134</v>
      </c>
      <c r="F17" s="210" t="s">
        <v>136</v>
      </c>
      <c r="G17" s="50"/>
      <c r="H17" s="210" t="s">
        <v>138</v>
      </c>
      <c r="I17" s="210" t="s">
        <v>140</v>
      </c>
      <c r="J17" s="50"/>
      <c r="K17" s="50"/>
      <c r="L17" s="51"/>
      <c r="M17" s="50"/>
      <c r="N17" s="50"/>
      <c r="O17" s="50"/>
      <c r="P17" s="52"/>
    </row>
    <row r="18" spans="1:16" ht="17.100000000000001" customHeight="1" thickBot="1" x14ac:dyDescent="0.4">
      <c r="A18" s="134" t="s">
        <v>46</v>
      </c>
      <c r="B18" s="86" t="s">
        <v>80</v>
      </c>
      <c r="C18" s="214" t="s">
        <v>159</v>
      </c>
      <c r="D18" s="51"/>
      <c r="E18" s="210" t="s">
        <v>135</v>
      </c>
      <c r="F18" s="210" t="s">
        <v>137</v>
      </c>
      <c r="G18" s="50"/>
      <c r="H18" s="210" t="s">
        <v>139</v>
      </c>
      <c r="I18" s="210" t="s">
        <v>141</v>
      </c>
      <c r="J18" s="50"/>
      <c r="K18" s="50"/>
      <c r="L18" s="51"/>
      <c r="M18" s="50"/>
      <c r="N18" s="50"/>
      <c r="O18" s="50"/>
      <c r="P18" s="52"/>
    </row>
    <row r="19" spans="1:16" s="64" customFormat="1" ht="17.100000000000001" customHeight="1" x14ac:dyDescent="0.35">
      <c r="A19" s="133" t="s">
        <v>79</v>
      </c>
      <c r="B19" s="127" t="s">
        <v>50</v>
      </c>
      <c r="C19" s="61">
        <v>1214</v>
      </c>
      <c r="D19" s="62"/>
      <c r="E19" s="61">
        <v>3340</v>
      </c>
      <c r="F19" s="61">
        <v>3640</v>
      </c>
      <c r="G19" s="61">
        <v>3940</v>
      </c>
      <c r="H19" s="61">
        <v>3540</v>
      </c>
      <c r="I19" s="61">
        <v>3130</v>
      </c>
      <c r="J19" s="61"/>
      <c r="K19" s="61"/>
      <c r="L19" s="133" t="s">
        <v>109</v>
      </c>
      <c r="M19" s="61">
        <v>3440</v>
      </c>
      <c r="N19" s="61">
        <v>3440</v>
      </c>
      <c r="O19" s="61">
        <v>3440</v>
      </c>
      <c r="P19" s="63">
        <v>3440</v>
      </c>
    </row>
    <row r="20" spans="1:16" ht="17.100000000000001" customHeight="1" x14ac:dyDescent="0.35">
      <c r="A20" s="134" t="s">
        <v>84</v>
      </c>
      <c r="B20" s="86" t="s">
        <v>51</v>
      </c>
      <c r="C20" s="50">
        <v>2110</v>
      </c>
      <c r="D20" s="51"/>
      <c r="E20" s="50">
        <v>3320</v>
      </c>
      <c r="F20" s="50">
        <v>3620</v>
      </c>
      <c r="G20" s="50">
        <v>3920</v>
      </c>
      <c r="H20" s="50">
        <v>3520</v>
      </c>
      <c r="I20" s="50"/>
      <c r="J20" s="50">
        <v>3320</v>
      </c>
      <c r="K20" s="50">
        <v>3220</v>
      </c>
      <c r="L20" s="134" t="s">
        <v>110</v>
      </c>
      <c r="M20" s="50">
        <v>3420</v>
      </c>
      <c r="N20" s="50">
        <v>3420</v>
      </c>
      <c r="O20" s="50">
        <v>3420</v>
      </c>
      <c r="P20" s="52">
        <v>3420</v>
      </c>
    </row>
    <row r="21" spans="1:16" ht="17.100000000000001" customHeight="1" x14ac:dyDescent="0.35">
      <c r="A21" s="134" t="s">
        <v>85</v>
      </c>
      <c r="B21" s="86" t="s">
        <v>67</v>
      </c>
      <c r="D21" s="134" t="s">
        <v>150</v>
      </c>
      <c r="E21" s="210" t="s">
        <v>151</v>
      </c>
      <c r="F21" s="210" t="s">
        <v>152</v>
      </c>
      <c r="G21" s="50"/>
      <c r="H21" s="210" t="s">
        <v>153</v>
      </c>
      <c r="I21" s="50"/>
      <c r="J21" s="50"/>
      <c r="K21" s="50"/>
      <c r="L21" s="51"/>
      <c r="M21" s="50"/>
      <c r="N21" s="50"/>
      <c r="O21" s="50"/>
      <c r="P21" s="52"/>
    </row>
    <row r="22" spans="1:16" s="29" customFormat="1" ht="17.100000000000001" customHeight="1" thickBot="1" x14ac:dyDescent="0.4">
      <c r="A22" s="135" t="s">
        <v>86</v>
      </c>
      <c r="B22" s="128" t="s">
        <v>54</v>
      </c>
      <c r="C22" s="68">
        <v>2190</v>
      </c>
      <c r="D22" s="170">
        <v>3722</v>
      </c>
      <c r="E22" s="68">
        <v>3322</v>
      </c>
      <c r="F22" s="68">
        <v>3622</v>
      </c>
      <c r="G22" s="68">
        <v>3922</v>
      </c>
      <c r="H22" s="68">
        <v>3522</v>
      </c>
      <c r="I22" s="68"/>
      <c r="J22" s="68">
        <v>3322</v>
      </c>
      <c r="K22" s="68">
        <v>3222</v>
      </c>
      <c r="L22" s="135" t="s">
        <v>111</v>
      </c>
      <c r="M22" s="68">
        <v>3422</v>
      </c>
      <c r="N22" s="68">
        <v>3422</v>
      </c>
      <c r="O22" s="68">
        <v>3422</v>
      </c>
      <c r="P22" s="69">
        <v>3422</v>
      </c>
    </row>
    <row r="23" spans="1:16" ht="17.100000000000001" customHeight="1" x14ac:dyDescent="0.35">
      <c r="A23" s="136" t="s">
        <v>43</v>
      </c>
      <c r="B23" s="129" t="s">
        <v>93</v>
      </c>
      <c r="C23" s="131" t="s">
        <v>37</v>
      </c>
      <c r="D23" s="134" t="s">
        <v>142</v>
      </c>
      <c r="E23" s="210" t="s">
        <v>134</v>
      </c>
      <c r="F23" s="210" t="s">
        <v>136</v>
      </c>
      <c r="G23" s="50"/>
      <c r="H23" s="210" t="s">
        <v>138</v>
      </c>
      <c r="I23" s="210" t="s">
        <v>140</v>
      </c>
      <c r="J23" s="50"/>
      <c r="K23" s="50"/>
      <c r="L23" s="70"/>
      <c r="M23" s="153"/>
      <c r="N23" s="50"/>
      <c r="O23" s="50"/>
      <c r="P23" s="52"/>
    </row>
    <row r="24" spans="1:16" ht="17.100000000000001" customHeight="1" x14ac:dyDescent="0.35">
      <c r="A24" s="137" t="s">
        <v>44</v>
      </c>
      <c r="B24" s="101" t="s">
        <v>94</v>
      </c>
      <c r="C24" s="65">
        <v>1419</v>
      </c>
      <c r="D24" s="134" t="s">
        <v>143</v>
      </c>
      <c r="E24" s="210" t="s">
        <v>135</v>
      </c>
      <c r="F24" s="210" t="s">
        <v>137</v>
      </c>
      <c r="G24" s="50"/>
      <c r="H24" s="210" t="s">
        <v>139</v>
      </c>
      <c r="I24" s="210" t="s">
        <v>141</v>
      </c>
      <c r="J24" s="50"/>
      <c r="K24" s="50"/>
      <c r="L24" s="71"/>
      <c r="M24" s="18"/>
      <c r="N24" s="50"/>
      <c r="O24" s="50"/>
      <c r="P24" s="52"/>
    </row>
    <row r="25" spans="1:16" ht="17.100000000000001" customHeight="1" x14ac:dyDescent="0.35">
      <c r="A25" s="137"/>
      <c r="B25" s="4" t="s">
        <v>28</v>
      </c>
      <c r="C25" s="65">
        <v>1340</v>
      </c>
      <c r="D25" s="134" t="s">
        <v>142</v>
      </c>
      <c r="E25" s="210" t="s">
        <v>134</v>
      </c>
      <c r="F25" s="210" t="s">
        <v>136</v>
      </c>
      <c r="G25" s="50"/>
      <c r="H25" s="210" t="s">
        <v>138</v>
      </c>
      <c r="I25" s="210" t="s">
        <v>140</v>
      </c>
      <c r="J25" s="50"/>
      <c r="K25" s="50"/>
      <c r="L25" s="71"/>
      <c r="M25" s="202"/>
      <c r="N25" s="203" t="s">
        <v>130</v>
      </c>
      <c r="O25" s="204"/>
      <c r="P25" s="205"/>
    </row>
    <row r="26" spans="1:16" ht="17.100000000000001" customHeight="1" x14ac:dyDescent="0.35">
      <c r="A26" s="137"/>
      <c r="B26" s="4" t="s">
        <v>38</v>
      </c>
      <c r="C26" s="65">
        <v>1419</v>
      </c>
      <c r="D26" s="134" t="s">
        <v>143</v>
      </c>
      <c r="E26" s="210" t="s">
        <v>135</v>
      </c>
      <c r="F26" s="210" t="s">
        <v>137</v>
      </c>
      <c r="G26" s="50"/>
      <c r="H26" s="210" t="s">
        <v>139</v>
      </c>
      <c r="I26" s="210" t="s">
        <v>141</v>
      </c>
      <c r="J26" s="50"/>
      <c r="K26" s="50"/>
      <c r="L26" s="71"/>
      <c r="M26" s="206"/>
      <c r="N26" s="200" t="s">
        <v>128</v>
      </c>
      <c r="O26" s="255">
        <f>'Benefit Calculations'!E37*12</f>
        <v>20873.28</v>
      </c>
      <c r="P26" s="256"/>
    </row>
    <row r="27" spans="1:16" ht="17.100000000000001" customHeight="1" x14ac:dyDescent="0.35">
      <c r="A27" s="137" t="s">
        <v>87</v>
      </c>
      <c r="B27" s="101" t="s">
        <v>95</v>
      </c>
      <c r="C27" s="65">
        <v>2392</v>
      </c>
      <c r="D27" s="51"/>
      <c r="E27" s="50"/>
      <c r="F27" s="210" t="s">
        <v>144</v>
      </c>
      <c r="G27" s="50"/>
      <c r="H27" s="50"/>
      <c r="I27" s="50"/>
      <c r="J27" s="50"/>
      <c r="K27" s="50"/>
      <c r="L27" s="71"/>
      <c r="M27" s="207"/>
      <c r="N27" s="208" t="s">
        <v>129</v>
      </c>
      <c r="O27" s="257">
        <f>'Benefit Calculations'!E38*12</f>
        <v>20955.36</v>
      </c>
      <c r="P27" s="258"/>
    </row>
    <row r="28" spans="1:16" ht="17.100000000000001" customHeight="1" x14ac:dyDescent="0.35">
      <c r="A28" s="137" t="s">
        <v>88</v>
      </c>
      <c r="B28" s="101" t="s">
        <v>96</v>
      </c>
      <c r="C28" s="65" t="s">
        <v>39</v>
      </c>
      <c r="D28" s="51"/>
      <c r="E28" s="50"/>
      <c r="F28" s="210" t="s">
        <v>136</v>
      </c>
      <c r="G28" s="50"/>
      <c r="H28" s="50"/>
      <c r="I28" s="50"/>
      <c r="J28" s="50"/>
      <c r="K28" s="50"/>
      <c r="L28" s="73"/>
      <c r="M28" s="154"/>
      <c r="N28" s="31"/>
      <c r="O28" s="31"/>
      <c r="P28" s="72"/>
    </row>
    <row r="29" spans="1:16" ht="17.100000000000001" customHeight="1" x14ac:dyDescent="0.35">
      <c r="A29" s="137"/>
      <c r="B29" s="101" t="s">
        <v>97</v>
      </c>
      <c r="C29" s="65">
        <v>2393</v>
      </c>
      <c r="D29" s="51"/>
      <c r="E29" s="210" t="s">
        <v>145</v>
      </c>
      <c r="F29" s="210" t="s">
        <v>144</v>
      </c>
      <c r="G29" s="50"/>
      <c r="H29" s="210" t="s">
        <v>147</v>
      </c>
      <c r="I29" s="50"/>
      <c r="J29" s="210" t="s">
        <v>145</v>
      </c>
      <c r="K29" s="210" t="s">
        <v>148</v>
      </c>
      <c r="L29" s="73"/>
      <c r="M29" s="154"/>
      <c r="N29" s="31"/>
      <c r="O29" s="31"/>
      <c r="P29" s="72"/>
    </row>
    <row r="30" spans="1:16" ht="17.100000000000001" customHeight="1" x14ac:dyDescent="0.35">
      <c r="A30" s="137"/>
      <c r="B30" s="101" t="s">
        <v>30</v>
      </c>
      <c r="C30" s="65">
        <v>2493</v>
      </c>
      <c r="D30" s="51"/>
      <c r="E30" s="210" t="s">
        <v>134</v>
      </c>
      <c r="F30" s="210" t="s">
        <v>136</v>
      </c>
      <c r="G30" s="50"/>
      <c r="H30" s="210" t="s">
        <v>138</v>
      </c>
      <c r="I30" s="50"/>
      <c r="J30" s="210" t="s">
        <v>134</v>
      </c>
      <c r="K30" s="210" t="s">
        <v>149</v>
      </c>
      <c r="L30" s="73"/>
      <c r="M30" s="154"/>
      <c r="N30" s="50"/>
      <c r="O30" s="50"/>
      <c r="P30" s="52"/>
    </row>
    <row r="31" spans="1:16" ht="17.100000000000001" customHeight="1" x14ac:dyDescent="0.35">
      <c r="A31" s="137" t="s">
        <v>89</v>
      </c>
      <c r="B31" s="101" t="s">
        <v>99</v>
      </c>
      <c r="C31" s="65">
        <v>2399</v>
      </c>
      <c r="D31" s="134" t="s">
        <v>146</v>
      </c>
      <c r="E31" s="210" t="s">
        <v>145</v>
      </c>
      <c r="F31" s="210" t="s">
        <v>144</v>
      </c>
      <c r="G31" s="50"/>
      <c r="H31" s="210" t="s">
        <v>147</v>
      </c>
      <c r="I31" s="50"/>
      <c r="J31" s="50"/>
      <c r="K31" s="50"/>
      <c r="L31" s="73"/>
      <c r="M31" s="154"/>
      <c r="N31" s="50"/>
      <c r="O31" s="50"/>
      <c r="P31" s="52"/>
    </row>
    <row r="32" spans="1:16" s="29" customFormat="1" ht="17.100000000000001" customHeight="1" thickBot="1" x14ac:dyDescent="0.4">
      <c r="A32" s="137" t="s">
        <v>91</v>
      </c>
      <c r="B32" s="101" t="s">
        <v>98</v>
      </c>
      <c r="C32" s="65" t="s">
        <v>41</v>
      </c>
      <c r="D32" s="134" t="s">
        <v>142</v>
      </c>
      <c r="E32" s="210" t="s">
        <v>134</v>
      </c>
      <c r="F32" s="210" t="s">
        <v>136</v>
      </c>
      <c r="G32" s="50"/>
      <c r="H32" s="210" t="s">
        <v>138</v>
      </c>
      <c r="I32" s="50"/>
      <c r="J32" s="50"/>
      <c r="K32" s="50"/>
      <c r="L32" s="73"/>
      <c r="M32" s="154"/>
      <c r="N32" s="50"/>
      <c r="O32" s="50"/>
      <c r="P32" s="52"/>
    </row>
    <row r="33" spans="1:16" ht="17.100000000000001" customHeight="1" x14ac:dyDescent="0.35">
      <c r="A33" s="137" t="s">
        <v>90</v>
      </c>
      <c r="B33" s="101" t="s">
        <v>100</v>
      </c>
      <c r="C33" s="65" t="s">
        <v>40</v>
      </c>
      <c r="D33" s="134" t="s">
        <v>146</v>
      </c>
      <c r="E33" s="210" t="s">
        <v>145</v>
      </c>
      <c r="F33" s="210" t="s">
        <v>144</v>
      </c>
      <c r="G33" s="50"/>
      <c r="H33" s="210" t="s">
        <v>147</v>
      </c>
      <c r="I33" s="50"/>
      <c r="J33" s="50"/>
      <c r="K33" s="50"/>
      <c r="L33" s="73"/>
      <c r="M33" s="154"/>
      <c r="N33" s="50"/>
      <c r="O33" s="50"/>
      <c r="P33" s="52"/>
    </row>
    <row r="34" spans="1:16" ht="17.100000000000001" customHeight="1" thickBot="1" x14ac:dyDescent="0.4">
      <c r="A34" s="138" t="s">
        <v>92</v>
      </c>
      <c r="B34" s="130" t="s">
        <v>101</v>
      </c>
      <c r="C34" s="132" t="s">
        <v>42</v>
      </c>
      <c r="D34" s="212" t="s">
        <v>142</v>
      </c>
      <c r="E34" s="211" t="s">
        <v>134</v>
      </c>
      <c r="F34" s="211" t="s">
        <v>136</v>
      </c>
      <c r="G34" s="74"/>
      <c r="H34" s="211" t="s">
        <v>138</v>
      </c>
      <c r="I34" s="74"/>
      <c r="J34" s="74"/>
      <c r="K34" s="74"/>
      <c r="L34" s="75"/>
      <c r="M34" s="74"/>
      <c r="N34" s="74"/>
      <c r="O34" s="74"/>
      <c r="P34" s="76"/>
    </row>
    <row r="35" spans="1:16" ht="13.15" thickTop="1" x14ac:dyDescent="0.35">
      <c r="P35" s="160" t="s">
        <v>187</v>
      </c>
    </row>
    <row r="38" spans="1:16" x14ac:dyDescent="0.35">
      <c r="B38" s="150" t="s">
        <v>106</v>
      </c>
    </row>
    <row r="39" spans="1:16" x14ac:dyDescent="0.35">
      <c r="B39" s="151" t="str">
        <f>'Benefit Calculations'!A41</f>
        <v>1a -  LTD maximimum is $653.40 - Budgeted at $653.40 for Contract Faculty, Educational Administrators, and Non-Educational Administrators - all else budgeted at percentage of salary</v>
      </c>
    </row>
    <row r="40" spans="1:16" x14ac:dyDescent="0.35">
      <c r="B40" s="151" t="str">
        <f>'Benefit Calculations'!A42</f>
        <v>1b -  Although Long Term Disability (LTD) benefit is effective 3 years from date of hire, KCCD budgets for all employee classes that are eligible.</v>
      </c>
    </row>
    <row r="41" spans="1:16" x14ac:dyDescent="0.35">
      <c r="B41" s="151" t="str">
        <f>'Benefit Calculations'!A43</f>
        <v>1c - OASDI maximimum is $9,932.40 - Budgeted at percentage rate for all employee classes except Chancellor.</v>
      </c>
    </row>
    <row r="42" spans="1:16" x14ac:dyDescent="0.35">
      <c r="B42" s="151" t="str">
        <f>'Benefit Calculations'!A44</f>
        <v xml:space="preserve">2 - In cases of Classified Overtime, retirement benefits will be PERS, Defined Benefit or neither. </v>
      </c>
    </row>
    <row r="43" spans="1:16" x14ac:dyDescent="0.35">
      <c r="B43" s="151" t="str">
        <f>CONCATENATE("     ",'Benefit Calculations'!A45)</f>
        <v xml:space="preserve">     If employee works &lt; 19 hours/week, benefit will be Defined Benefit; if employee works &gt; 19 hours/week but &lt; 40 hours/week, benefit will be PERS, if &gt; 40 hours/week there will be no retirement benefit</v>
      </c>
    </row>
    <row r="44" spans="1:16" x14ac:dyDescent="0.35">
      <c r="B44" s="151" t="str">
        <f>'Benefit Calculations'!A46</f>
        <v xml:space="preserve"> 3 -  Adjunct Faculty and Stipends for Faculty may be Defined Benefit or STRS -- KCCD budgets for STRS since it is higher rate.</v>
      </c>
    </row>
    <row r="45" spans="1:16" x14ac:dyDescent="0.35">
      <c r="B45" s="151" t="str">
        <f>'Benefit Calculations'!A47</f>
        <v>4a -  Some Faculty positions have fixed benefits (Life, Health, Dental) deducted at a 10thly rate, which is the annual total divided by 10 months rather than 12 months.  In these cases, benefits are usually deducted August through May.</v>
      </c>
    </row>
    <row r="46" spans="1:16" x14ac:dyDescent="0.35">
      <c r="B46" s="151" t="str">
        <f>'Benefit Calculations'!A48</f>
        <v>4b - Benefit rates for medical/dental/vision/life are specific to each employee group negotiated contract and are annualized due to possible rate changes in October of each year.</v>
      </c>
    </row>
    <row r="47" spans="1:16" x14ac:dyDescent="0.35">
      <c r="B47" s="151" t="str">
        <f>CONCATENATE("     ",'Benefit Calculations'!A49)</f>
        <v xml:space="preserve">     Faculty Medical:  $1,739.44 per month</v>
      </c>
    </row>
    <row r="48" spans="1:16" x14ac:dyDescent="0.35">
      <c r="B48" s="151" t="str">
        <f>CONCATENATE("     ",'Benefit Calculations'!A50)</f>
        <v xml:space="preserve">     Classified Medical:  $1,746.28 per month</v>
      </c>
    </row>
    <row r="49" spans="2:2" x14ac:dyDescent="0.35">
      <c r="B49" s="151" t="str">
        <f>'Benefit Calculations'!A51</f>
        <v>5 - Defined Benefit rate is annualized - current anticipated rate is 3.8%</v>
      </c>
    </row>
    <row r="50" spans="2:2" x14ac:dyDescent="0.35">
      <c r="B50" s="151" t="str">
        <f>'Benefit Calculations'!A52</f>
        <v>6 - In cases where STRS and Def Ben are included, amounts are adjusted for general utilization.  Not all will pay into STRS or Def Ben.  It is an either/or situation.</v>
      </c>
    </row>
    <row r="51" spans="2:2" x14ac:dyDescent="0.35">
      <c r="B51" s="198"/>
    </row>
  </sheetData>
  <sheetProtection algorithmName="SHA-512" hashValue="KiZcD9MES1A7ZmLobmIN8xmTCwxhE6s47ecH0oI78k281QNXvOKrJrenRntvfjaO3o4F+6wpWIZpB2XmCvPY4Q==" saltValue="QlZsED/JtYWYkfstm+QODw==" spinCount="100000" sheet="1" selectLockedCells="1"/>
  <mergeCells count="7">
    <mergeCell ref="O26:P26"/>
    <mergeCell ref="O27:P27"/>
    <mergeCell ref="A1:P1"/>
    <mergeCell ref="D5:K5"/>
    <mergeCell ref="L5:P5"/>
    <mergeCell ref="A3:P3"/>
    <mergeCell ref="A2:P2"/>
  </mergeCells>
  <phoneticPr fontId="0" type="noConversion"/>
  <printOptions horizontalCentered="1"/>
  <pageMargins left="0" right="0" top="0.5" bottom="0.5" header="0.5" footer="0.5"/>
  <pageSetup scale="6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3BF73-4A35-46A9-9C8B-0969C28E544E}">
  <sheetPr>
    <tabColor rgb="FFFFCC00"/>
    <pageSetUpPr fitToPage="1"/>
  </sheetPr>
  <dimension ref="A1:E35"/>
  <sheetViews>
    <sheetView workbookViewId="0">
      <selection activeCell="A31" sqref="A31"/>
    </sheetView>
  </sheetViews>
  <sheetFormatPr defaultRowHeight="12.75" x14ac:dyDescent="0.35"/>
  <cols>
    <col min="1" max="1" width="30.3984375" customWidth="1"/>
    <col min="2" max="2" width="15" customWidth="1"/>
    <col min="3" max="3" width="69.59765625" customWidth="1"/>
    <col min="4" max="4" width="15.59765625" style="237" customWidth="1"/>
    <col min="5" max="5" width="38.59765625" customWidth="1"/>
  </cols>
  <sheetData>
    <row r="1" spans="1:5" ht="20.65" x14ac:dyDescent="0.6">
      <c r="A1" s="270" t="s">
        <v>179</v>
      </c>
      <c r="B1" s="270"/>
      <c r="C1" s="270"/>
      <c r="D1" s="270"/>
      <c r="E1" s="270"/>
    </row>
    <row r="2" spans="1:5" ht="20.65" x14ac:dyDescent="0.6">
      <c r="A2" s="270" t="s">
        <v>178</v>
      </c>
      <c r="B2" s="270"/>
      <c r="C2" s="270"/>
      <c r="D2" s="270"/>
      <c r="E2" s="270"/>
    </row>
    <row r="3" spans="1:5" ht="13.15" thickBot="1" x14ac:dyDescent="0.4"/>
    <row r="4" spans="1:5" ht="28.9" thickBot="1" x14ac:dyDescent="0.5">
      <c r="A4" s="217" t="s">
        <v>160</v>
      </c>
      <c r="B4" s="218" t="s">
        <v>161</v>
      </c>
      <c r="C4" s="218" t="s">
        <v>162</v>
      </c>
      <c r="D4" s="219" t="s">
        <v>163</v>
      </c>
      <c r="E4" s="225" t="s">
        <v>164</v>
      </c>
    </row>
    <row r="5" spans="1:5" ht="14.25" x14ac:dyDescent="0.45">
      <c r="A5" s="226" t="s">
        <v>165</v>
      </c>
      <c r="B5" s="227" t="s">
        <v>68</v>
      </c>
      <c r="C5" s="228" t="s">
        <v>69</v>
      </c>
      <c r="D5" s="235">
        <v>2191</v>
      </c>
      <c r="E5" s="226" t="s">
        <v>166</v>
      </c>
    </row>
    <row r="6" spans="1:5" ht="14.25" x14ac:dyDescent="0.45">
      <c r="A6" s="216" t="s">
        <v>167</v>
      </c>
      <c r="B6" s="220" t="s">
        <v>70</v>
      </c>
      <c r="C6" s="221" t="s">
        <v>71</v>
      </c>
      <c r="D6" s="224">
        <v>2211</v>
      </c>
      <c r="E6" s="271" t="s">
        <v>188</v>
      </c>
    </row>
    <row r="7" spans="1:5" ht="14.25" x14ac:dyDescent="0.45">
      <c r="A7" s="226" t="s">
        <v>165</v>
      </c>
      <c r="B7" s="229" t="s">
        <v>72</v>
      </c>
      <c r="C7" s="230" t="s">
        <v>76</v>
      </c>
      <c r="D7" s="234">
        <v>2191</v>
      </c>
      <c r="E7" s="231" t="s">
        <v>166</v>
      </c>
    </row>
    <row r="8" spans="1:5" ht="14.25" x14ac:dyDescent="0.45">
      <c r="A8" s="216" t="s">
        <v>167</v>
      </c>
      <c r="B8" s="220" t="s">
        <v>73</v>
      </c>
      <c r="C8" s="221" t="s">
        <v>82</v>
      </c>
      <c r="D8" s="224">
        <v>2211</v>
      </c>
      <c r="E8" s="271" t="s">
        <v>188</v>
      </c>
    </row>
    <row r="9" spans="1:5" ht="14.25" x14ac:dyDescent="0.45">
      <c r="A9" s="226" t="s">
        <v>165</v>
      </c>
      <c r="B9" s="229" t="s">
        <v>74</v>
      </c>
      <c r="C9" s="230" t="s">
        <v>77</v>
      </c>
      <c r="D9" s="234">
        <v>2191</v>
      </c>
      <c r="E9" s="231" t="s">
        <v>166</v>
      </c>
    </row>
    <row r="10" spans="1:5" ht="14.25" x14ac:dyDescent="0.45">
      <c r="A10" s="216" t="s">
        <v>167</v>
      </c>
      <c r="B10" s="220" t="s">
        <v>75</v>
      </c>
      <c r="C10" s="221" t="s">
        <v>83</v>
      </c>
      <c r="D10" s="224">
        <v>2211</v>
      </c>
      <c r="E10" s="271" t="s">
        <v>188</v>
      </c>
    </row>
    <row r="11" spans="1:5" ht="28.5" x14ac:dyDescent="0.45">
      <c r="A11" s="216" t="s">
        <v>167</v>
      </c>
      <c r="B11" s="222" t="s">
        <v>168</v>
      </c>
      <c r="C11" s="223" t="s">
        <v>169</v>
      </c>
      <c r="D11" s="222" t="s">
        <v>170</v>
      </c>
      <c r="E11" s="271" t="s">
        <v>188</v>
      </c>
    </row>
    <row r="12" spans="1:5" ht="28.5" x14ac:dyDescent="0.45">
      <c r="A12" s="231" t="s">
        <v>165</v>
      </c>
      <c r="B12" s="232" t="s">
        <v>171</v>
      </c>
      <c r="C12" s="233" t="s">
        <v>172</v>
      </c>
      <c r="D12" s="232" t="s">
        <v>173</v>
      </c>
      <c r="E12" s="231" t="s">
        <v>166</v>
      </c>
    </row>
    <row r="13" spans="1:5" ht="14.25" x14ac:dyDescent="0.45">
      <c r="A13" s="216" t="s">
        <v>167</v>
      </c>
      <c r="B13" s="220" t="s">
        <v>45</v>
      </c>
      <c r="C13" s="221" t="s">
        <v>81</v>
      </c>
      <c r="D13" s="224">
        <v>1330</v>
      </c>
      <c r="E13" s="271" t="s">
        <v>188</v>
      </c>
    </row>
    <row r="14" spans="1:5" ht="14.25" x14ac:dyDescent="0.45">
      <c r="A14" s="231" t="s">
        <v>165</v>
      </c>
      <c r="B14" s="229" t="s">
        <v>46</v>
      </c>
      <c r="C14" s="230" t="s">
        <v>80</v>
      </c>
      <c r="D14" s="234" t="s">
        <v>159</v>
      </c>
      <c r="E14" s="231" t="s">
        <v>166</v>
      </c>
    </row>
    <row r="15" spans="1:5" ht="14.25" x14ac:dyDescent="0.45">
      <c r="A15" s="231" t="s">
        <v>165</v>
      </c>
      <c r="B15" s="229" t="s">
        <v>79</v>
      </c>
      <c r="C15" s="230" t="s">
        <v>50</v>
      </c>
      <c r="D15" s="234">
        <v>1214</v>
      </c>
      <c r="E15" s="231" t="s">
        <v>166</v>
      </c>
    </row>
    <row r="16" spans="1:5" ht="14.25" x14ac:dyDescent="0.45">
      <c r="A16" s="231" t="s">
        <v>165</v>
      </c>
      <c r="B16" s="229" t="s">
        <v>84</v>
      </c>
      <c r="C16" s="230" t="s">
        <v>51</v>
      </c>
      <c r="D16" s="234">
        <v>2110</v>
      </c>
      <c r="E16" s="231" t="s">
        <v>166</v>
      </c>
    </row>
    <row r="17" spans="1:5" ht="14.25" x14ac:dyDescent="0.45">
      <c r="A17" s="231" t="s">
        <v>165</v>
      </c>
      <c r="B17" s="229" t="s">
        <v>86</v>
      </c>
      <c r="C17" s="230" t="s">
        <v>54</v>
      </c>
      <c r="D17" s="234">
        <v>2190</v>
      </c>
      <c r="E17" s="231" t="s">
        <v>166</v>
      </c>
    </row>
    <row r="18" spans="1:5" ht="14.25" x14ac:dyDescent="0.45">
      <c r="A18" s="216" t="s">
        <v>167</v>
      </c>
      <c r="B18" s="222" t="s">
        <v>43</v>
      </c>
      <c r="C18" s="221" t="s">
        <v>93</v>
      </c>
      <c r="D18" s="224" t="s">
        <v>37</v>
      </c>
      <c r="E18" s="271" t="s">
        <v>188</v>
      </c>
    </row>
    <row r="19" spans="1:5" ht="14.25" x14ac:dyDescent="0.45">
      <c r="A19" s="231" t="s">
        <v>165</v>
      </c>
      <c r="B19" s="232" t="s">
        <v>44</v>
      </c>
      <c r="C19" s="230" t="s">
        <v>94</v>
      </c>
      <c r="D19" s="234">
        <v>1419</v>
      </c>
      <c r="E19" s="231" t="s">
        <v>166</v>
      </c>
    </row>
    <row r="20" spans="1:5" ht="14.25" x14ac:dyDescent="0.45">
      <c r="A20" s="216" t="s">
        <v>167</v>
      </c>
      <c r="B20" s="222" t="s">
        <v>174</v>
      </c>
      <c r="C20" s="221" t="s">
        <v>28</v>
      </c>
      <c r="D20" s="224">
        <v>1340</v>
      </c>
      <c r="E20" s="271" t="s">
        <v>188</v>
      </c>
    </row>
    <row r="21" spans="1:5" ht="14.25" x14ac:dyDescent="0.45">
      <c r="A21" s="231" t="s">
        <v>165</v>
      </c>
      <c r="B21" s="232" t="s">
        <v>175</v>
      </c>
      <c r="C21" s="230" t="s">
        <v>38</v>
      </c>
      <c r="D21" s="234">
        <v>1419</v>
      </c>
      <c r="E21" s="231" t="s">
        <v>166</v>
      </c>
    </row>
    <row r="22" spans="1:5" ht="14.25" x14ac:dyDescent="0.45">
      <c r="A22" s="231" t="s">
        <v>165</v>
      </c>
      <c r="B22" s="232" t="s">
        <v>87</v>
      </c>
      <c r="C22" s="230" t="s">
        <v>95</v>
      </c>
      <c r="D22" s="234">
        <v>2392</v>
      </c>
      <c r="E22" s="231" t="s">
        <v>166</v>
      </c>
    </row>
    <row r="23" spans="1:5" ht="14.25" x14ac:dyDescent="0.45">
      <c r="A23" s="216" t="s">
        <v>167</v>
      </c>
      <c r="B23" s="222" t="s">
        <v>88</v>
      </c>
      <c r="C23" s="221" t="s">
        <v>96</v>
      </c>
      <c r="D23" s="224" t="s">
        <v>39</v>
      </c>
      <c r="E23" s="271" t="s">
        <v>188</v>
      </c>
    </row>
    <row r="24" spans="1:5" ht="14.25" x14ac:dyDescent="0.45">
      <c r="A24" s="231" t="s">
        <v>165</v>
      </c>
      <c r="B24" s="232"/>
      <c r="C24" s="230" t="s">
        <v>97</v>
      </c>
      <c r="D24" s="234">
        <v>2393</v>
      </c>
      <c r="E24" s="231" t="s">
        <v>166</v>
      </c>
    </row>
    <row r="25" spans="1:5" ht="14.25" x14ac:dyDescent="0.45">
      <c r="A25" s="216" t="s">
        <v>167</v>
      </c>
      <c r="B25" s="222"/>
      <c r="C25" s="221" t="s">
        <v>30</v>
      </c>
      <c r="D25" s="224">
        <v>2493</v>
      </c>
      <c r="E25" s="271" t="s">
        <v>188</v>
      </c>
    </row>
    <row r="26" spans="1:5" ht="14.25" x14ac:dyDescent="0.45">
      <c r="A26" s="231" t="s">
        <v>165</v>
      </c>
      <c r="B26" s="232" t="s">
        <v>89</v>
      </c>
      <c r="C26" s="230" t="s">
        <v>99</v>
      </c>
      <c r="D26" s="234">
        <v>2399</v>
      </c>
      <c r="E26" s="231" t="s">
        <v>166</v>
      </c>
    </row>
    <row r="27" spans="1:5" ht="14.25" x14ac:dyDescent="0.45">
      <c r="A27" s="216" t="s">
        <v>167</v>
      </c>
      <c r="B27" s="222" t="s">
        <v>91</v>
      </c>
      <c r="C27" s="221" t="s">
        <v>98</v>
      </c>
      <c r="D27" s="224" t="s">
        <v>41</v>
      </c>
      <c r="E27" s="271" t="s">
        <v>188</v>
      </c>
    </row>
    <row r="28" spans="1:5" ht="14.25" x14ac:dyDescent="0.45">
      <c r="A28" s="231" t="s">
        <v>165</v>
      </c>
      <c r="B28" s="232" t="s">
        <v>90</v>
      </c>
      <c r="C28" s="230" t="s">
        <v>100</v>
      </c>
      <c r="D28" s="234" t="s">
        <v>40</v>
      </c>
      <c r="E28" s="231" t="s">
        <v>166</v>
      </c>
    </row>
    <row r="29" spans="1:5" ht="14.25" x14ac:dyDescent="0.45">
      <c r="A29" s="216" t="s">
        <v>167</v>
      </c>
      <c r="B29" s="222" t="s">
        <v>92</v>
      </c>
      <c r="C29" s="221" t="s">
        <v>101</v>
      </c>
      <c r="D29" s="224" t="s">
        <v>42</v>
      </c>
      <c r="E29" s="271" t="s">
        <v>188</v>
      </c>
    </row>
    <row r="30" spans="1:5" ht="14.25" x14ac:dyDescent="0.45">
      <c r="A30" s="215"/>
      <c r="B30" s="215"/>
      <c r="C30" s="215"/>
      <c r="D30" s="236"/>
      <c r="E30" s="215"/>
    </row>
    <row r="31" spans="1:5" ht="14.25" x14ac:dyDescent="0.45">
      <c r="A31" s="215"/>
      <c r="B31" s="215"/>
      <c r="C31" s="215"/>
      <c r="D31" s="236"/>
      <c r="E31" s="215"/>
    </row>
    <row r="32" spans="1:5" ht="14.25" x14ac:dyDescent="0.35">
      <c r="A32" s="268" t="s">
        <v>176</v>
      </c>
      <c r="B32" s="268"/>
      <c r="C32" s="268"/>
      <c r="D32" s="268"/>
      <c r="E32" s="268"/>
    </row>
    <row r="33" spans="1:5" ht="14.25" x14ac:dyDescent="0.45">
      <c r="A33" s="215"/>
      <c r="B33" s="215"/>
      <c r="C33" s="215"/>
      <c r="D33" s="236"/>
      <c r="E33" s="215"/>
    </row>
    <row r="34" spans="1:5" ht="14.25" x14ac:dyDescent="0.45">
      <c r="A34" s="269" t="s">
        <v>177</v>
      </c>
      <c r="B34" s="269"/>
      <c r="C34" s="269"/>
      <c r="D34" s="269"/>
      <c r="E34" s="269"/>
    </row>
    <row r="35" spans="1:5" ht="14.25" x14ac:dyDescent="0.45">
      <c r="A35" s="215"/>
      <c r="B35" s="215"/>
      <c r="C35" s="215"/>
      <c r="D35" s="236"/>
      <c r="E35" s="215"/>
    </row>
  </sheetData>
  <sheetProtection algorithmName="SHA-512" hashValue="5pE2pUEBX0V0reW70OQtab/5F+RmGU3PBDBwIpa1PWn/GOHxJob26B/tOLDE/z7SG/In1YFrteO18yJP0H6SBQ==" saltValue="U4aZW08a3tVSsm+iBBLqSA==" spinCount="100000" sheet="1" objects="1" scenarios="1"/>
  <autoFilter ref="A4:E29" xr:uid="{B7B3BF73-4A35-46A9-9C8B-0969C28E544E}"/>
  <mergeCells count="4">
    <mergeCell ref="A32:E32"/>
    <mergeCell ref="A34:E34"/>
    <mergeCell ref="A1:E1"/>
    <mergeCell ref="A2:E2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Benefit Calculations</vt:lpstr>
      <vt:lpstr>Account Codes</vt:lpstr>
      <vt:lpstr>Instructional-NonInstructional</vt:lpstr>
      <vt:lpstr>EmployeeType</vt:lpstr>
      <vt:lpstr>'Account Codes'!Print_Area</vt:lpstr>
      <vt:lpstr>'Benefit Calculations'!Print_Area</vt:lpstr>
      <vt:lpstr>'Instructional-NonInstructional'!Print_Area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Maira Vargas</dc:creator>
  <cp:lastModifiedBy>Lisa Couch</cp:lastModifiedBy>
  <cp:lastPrinted>2022-05-13T05:05:59Z</cp:lastPrinted>
  <dcterms:created xsi:type="dcterms:W3CDTF">1998-07-17T15:40:38Z</dcterms:created>
  <dcterms:modified xsi:type="dcterms:W3CDTF">2024-05-14T00:28:01Z</dcterms:modified>
</cp:coreProperties>
</file>